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70" activeTab="0"/>
  </bookViews>
  <sheets>
    <sheet name="ВО" sheetId="1" r:id="rId1"/>
    <sheet name="числ" sheetId="2" r:id="rId2"/>
    <sheet name="Общехоз расх" sheetId="3" r:id="rId3"/>
    <sheet name="зпл" sheetId="4" r:id="rId4"/>
    <sheet name="охрана труда" sheetId="5" r:id="rId5"/>
    <sheet name="Распределение" sheetId="6" r:id="rId6"/>
    <sheet name="АДС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<sst xmlns="http://schemas.openxmlformats.org/spreadsheetml/2006/main" count="772" uniqueCount="474">
  <si>
    <t>№ п/п</t>
  </si>
  <si>
    <t>Наименование показателя</t>
  </si>
  <si>
    <t>Единица
измерений</t>
  </si>
  <si>
    <t>Представлено Предприятием в качестве обоснования</t>
  </si>
  <si>
    <t>Рост по отношению к базовому периоду, %</t>
  </si>
  <si>
    <t>план</t>
  </si>
  <si>
    <t>факт</t>
  </si>
  <si>
    <t>Баланс:</t>
  </si>
  <si>
    <t>1.</t>
  </si>
  <si>
    <t>куб. м</t>
  </si>
  <si>
    <t>2.</t>
  </si>
  <si>
    <t>3.</t>
  </si>
  <si>
    <t>4.</t>
  </si>
  <si>
    <t>5.</t>
  </si>
  <si>
    <t>6.</t>
  </si>
  <si>
    <t>%</t>
  </si>
  <si>
    <t>7.</t>
  </si>
  <si>
    <t>По нижеприведенным основаниям.</t>
  </si>
  <si>
    <t>бюджетным потребителям</t>
  </si>
  <si>
    <t>населению</t>
  </si>
  <si>
    <t>прочим потребителям</t>
  </si>
  <si>
    <t>Расчет необходимой валовой выручки:</t>
  </si>
  <si>
    <t>Является плательщиком НДС (да/нет)</t>
  </si>
  <si>
    <t>нет</t>
  </si>
  <si>
    <t>тыс. руб.</t>
  </si>
  <si>
    <t>Производственные расходы</t>
  </si>
  <si>
    <t>Расходы на приобретение сырья и материалов и их хранение</t>
  </si>
  <si>
    <t>Расходы на оплату труда и страховые взносы производственного персонала,
в том числе:</t>
  </si>
  <si>
    <t>Фонд оплаты труда основного производственного персонала</t>
  </si>
  <si>
    <t>Среднемесячная оплата труда основного производственного персонала</t>
  </si>
  <si>
    <t>руб./мес.</t>
  </si>
  <si>
    <t>Численность (среднесписочная) основного производственного персонала, принятая для расчета</t>
  </si>
  <si>
    <t>ед.</t>
  </si>
  <si>
    <t>Страховые взносы от оплаты труда основного производственного персонала</t>
  </si>
  <si>
    <t>Фонд оплаты труда цехового персонала</t>
  </si>
  <si>
    <t>Среднемесячная оплата труда цехового персонала</t>
  </si>
  <si>
    <t>Численность (среднесписочная) цехового персонала, принятая для расчета</t>
  </si>
  <si>
    <t>Страховые взносы от оплаты труда цехового персонала</t>
  </si>
  <si>
    <t>Расходы на уплату процентов по займам и кредитам, не учитываемые при определении налогооблагаемой базы налога на прибыль</t>
  </si>
  <si>
    <t>Общехозяйственные расходы</t>
  </si>
  <si>
    <t>Прочие производственные расходы</t>
  </si>
  <si>
    <t>Расходы на амортизацию автотранспорта</t>
  </si>
  <si>
    <t>Расходы на приобретение (использование) вспомогательных материалов, запасных частей</t>
  </si>
  <si>
    <t>Расходы на эксплуатацию, техническое обслуживание и ремонт автотранспорта</t>
  </si>
  <si>
    <t>Расходы на аварийно-диспетчерское обслуживание</t>
  </si>
  <si>
    <t>Расходы на охрану труда</t>
  </si>
  <si>
    <t>Ремонтные расходы</t>
  </si>
  <si>
    <t>Расходы на оплату труда и отчисления на социальные нужды ремонтного персонала</t>
  </si>
  <si>
    <t>Среднемесячная оплата труда ремонтного персонала</t>
  </si>
  <si>
    <t>Численность (среднесписочная) ремонтного персонала, принятая для расчета</t>
  </si>
  <si>
    <t>Страховые взносы от оплаты труда ремонтного персонала</t>
  </si>
  <si>
    <t>Административные расходы</t>
  </si>
  <si>
    <t>Фонд оплаты труда административного персонала</t>
  </si>
  <si>
    <t>Среднемесячная оплата труда административного персонала</t>
  </si>
  <si>
    <t>Численность (среднесписочная) административного персонала, относимая на регулируемый вид деятельности</t>
  </si>
  <si>
    <t>Страховые взносы от оплаты труда административного персонала</t>
  </si>
  <si>
    <t>Прочие административные расходы:</t>
  </si>
  <si>
    <t>Расходы на оплату работ и услуг, выполняемых сторонними организациями:</t>
  </si>
  <si>
    <t>услуги связи и интернет</t>
  </si>
  <si>
    <t>юридические услуги</t>
  </si>
  <si>
    <t>аудиторские услуги</t>
  </si>
  <si>
    <t>консультационные услуги</t>
  </si>
  <si>
    <t>услуги по вневедомственной охране объектов и территорий</t>
  </si>
  <si>
    <t>информационные услуги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</si>
  <si>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</si>
  <si>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Служебные командировки</t>
  </si>
  <si>
    <t>Обучение персонала</t>
  </si>
  <si>
    <t>Расходы на страхование производственных объектов, учитываемые при определении базы по налогу на прибыль</t>
  </si>
  <si>
    <t>Расходы на амортизацию непроизводственных активов</t>
  </si>
  <si>
    <t>Расходы на оплату услуг сторонних организаций по обеспечению безопасности функционирования объектов централизованных систем водоснабжения и водоотведения, в том числе расходы на защиту от террористических угроз</t>
  </si>
  <si>
    <t>1.2.</t>
  </si>
  <si>
    <t>1.2.1.</t>
  </si>
  <si>
    <t>Расходы на покупку электрической энергии</t>
  </si>
  <si>
    <t xml:space="preserve">Объем покупной энергии </t>
  </si>
  <si>
    <t>кВт-ч</t>
  </si>
  <si>
    <r>
      <t xml:space="preserve">Тариф на электрическую энергию </t>
    </r>
    <r>
      <rPr>
        <b/>
        <sz val="11"/>
        <rFont val="Times New Roman"/>
        <family val="1"/>
      </rPr>
      <t>(уровень напряжения)</t>
    </r>
  </si>
  <si>
    <t>руб./ кВт-ч</t>
  </si>
  <si>
    <t>1.2.2.</t>
  </si>
  <si>
    <t>Расходы на покупку мощности</t>
  </si>
  <si>
    <t xml:space="preserve">Мощность </t>
  </si>
  <si>
    <t>МВт в мес.</t>
  </si>
  <si>
    <r>
      <t xml:space="preserve">Ставка за мощность </t>
    </r>
    <r>
      <rPr>
        <b/>
        <sz val="11"/>
        <rFont val="Times New Roman"/>
        <family val="1"/>
      </rPr>
      <t>(уровень напряжения)</t>
    </r>
  </si>
  <si>
    <t>руб./ МВт в мес.</t>
  </si>
  <si>
    <t>1.3.</t>
  </si>
  <si>
    <t>1.3.1.</t>
  </si>
  <si>
    <t>Расходы на тепловую энергию</t>
  </si>
  <si>
    <t>объем тепловой энергии</t>
  </si>
  <si>
    <t>Гкал</t>
  </si>
  <si>
    <t>тариф на тепловую энергию</t>
  </si>
  <si>
    <t>руб./Гкал</t>
  </si>
  <si>
    <t>Расходы на горячую воду</t>
  </si>
  <si>
    <t>объем горячей воды</t>
  </si>
  <si>
    <t>тариф на горячую воду</t>
  </si>
  <si>
    <t>руб./куб. м</t>
  </si>
  <si>
    <t>Расходы на транспортировку воды</t>
  </si>
  <si>
    <t>объем транспортируемой воды</t>
  </si>
  <si>
    <t>тариф на транспортировку воды</t>
  </si>
  <si>
    <t>Расходы на покупку воды</t>
  </si>
  <si>
    <t>объем покупной воды</t>
  </si>
  <si>
    <t>тариф на воду</t>
  </si>
  <si>
    <t>Расходы на водоотведение</t>
  </si>
  <si>
    <t>объем услуги водоотведение</t>
  </si>
  <si>
    <t>тариф на водоотведение</t>
  </si>
  <si>
    <t xml:space="preserve">Расходы на транспортировку сточных вод </t>
  </si>
  <si>
    <t>объем транспортируемых сточных вод</t>
  </si>
  <si>
    <t xml:space="preserve">тариф на транспортировку сточных вод </t>
  </si>
  <si>
    <t>1.3.2.</t>
  </si>
  <si>
    <t>Расходы на уплату налогов, сборов и других обязательных платежей</t>
  </si>
  <si>
    <t>Налог на прибыль</t>
  </si>
  <si>
    <t>Налог на имущество организаций</t>
  </si>
  <si>
    <t>Земельный налог и арендная плата за землю</t>
  </si>
  <si>
    <t>Плата за пользование водным объектом</t>
  </si>
  <si>
    <t>Транспортный налог</t>
  </si>
  <si>
    <t>Плата за негативное воздействие на окружающую среду</t>
  </si>
  <si>
    <t>Прочие налоги и сборы:</t>
  </si>
  <si>
    <t>Единый налог, уплачиваемый организацией, применяющей упрощенную систему налогообложения</t>
  </si>
  <si>
    <t>Сбытовые расходы гарантирующей организации (расходы по сомнительным долгам (дебиторской задолженности)</t>
  </si>
  <si>
    <t>Амортизация</t>
  </si>
  <si>
    <t>Нормативная прибыль</t>
  </si>
  <si>
    <t>3.1.</t>
  </si>
  <si>
    <t>Расходы на капитальные вложения (инвестиции), определяемые в соответствии с утвержденными инвестиционными программами</t>
  </si>
  <si>
    <t>3.2.</t>
  </si>
  <si>
    <t>Средства на возврат займов и кредитов, привлекаемых на реализацию мероприятий инвестиционной программы, в размере, определяемом исходя из срока их возврата, предусмотренного договорами займа и кредитными договорами, а также проценты по таким займам и кредитам</t>
  </si>
  <si>
    <t>3.3.</t>
  </si>
  <si>
    <t>Расходы на выплаты, предусмотренные коллективными договорами, не учитываемые при определении налоговой базы налога на прибыль (расходы, относимые на прибыль после налогообложения)</t>
  </si>
  <si>
    <t>Расчетная предпринимательская прибыль гарантирующей организации</t>
  </si>
  <si>
    <t>По вышеприведенным основаниям.</t>
  </si>
  <si>
    <t>Определен исходя из заявленной необходимой валовой выручки и объема полезного отпуска услуг.</t>
  </si>
  <si>
    <t>Определен исходя из принятой необходимой валовой выручки и объема полезного отпуска услуг.</t>
  </si>
  <si>
    <t>Темп роста тарифа</t>
  </si>
  <si>
    <t>Ответственный за подготовку экспертного заключения</t>
  </si>
  <si>
    <t>Недополученные доходы/расходы прошлых периодов</t>
  </si>
  <si>
    <t>Экономически обоснованные расходы, не учтенные органом регулирования тарифов при установлении тарифов на ее товары (работы, услуги) в прошлом периоде</t>
  </si>
  <si>
    <t>Недополученные доходы прошлых периодов регулирования</t>
  </si>
  <si>
    <t>Расходы, связанные с обслуживанием заемных средств и собственных средств, направляемых на покрытие недостатка средств</t>
  </si>
  <si>
    <t>8.</t>
  </si>
  <si>
    <t>9.</t>
  </si>
  <si>
    <t>1.1.</t>
  </si>
  <si>
    <t>1.4.</t>
  </si>
  <si>
    <t>1.5.</t>
  </si>
  <si>
    <t>1.6.</t>
  </si>
  <si>
    <t>1.7.</t>
  </si>
  <si>
    <t>8.1.</t>
  </si>
  <si>
    <t>8.2.</t>
  </si>
  <si>
    <t>8.3.</t>
  </si>
  <si>
    <t>2.1.</t>
  </si>
  <si>
    <t>2.2.</t>
  </si>
  <si>
    <t>2.3.</t>
  </si>
  <si>
    <t>2.4.</t>
  </si>
  <si>
    <t>Расходы на приобретаемые электрическую энергию (мощность), тепловую энергию, другие виды энергетических ресурсов и холодную воду</t>
  </si>
  <si>
    <t>1.2.3.</t>
  </si>
  <si>
    <t>1.2.4.</t>
  </si>
  <si>
    <t>10.</t>
  </si>
  <si>
    <t>10.1.</t>
  </si>
  <si>
    <t>10.2.</t>
  </si>
  <si>
    <t>10.3.</t>
  </si>
  <si>
    <t>11.</t>
  </si>
  <si>
    <t>12.</t>
  </si>
  <si>
    <t>13.</t>
  </si>
  <si>
    <t>1.2.5.</t>
  </si>
  <si>
    <t>1.2.6.</t>
  </si>
  <si>
    <t>1.4.1.</t>
  </si>
  <si>
    <t>1.4.2.</t>
  </si>
  <si>
    <t>1.4.3.</t>
  </si>
  <si>
    <t>1.4.4.</t>
  </si>
  <si>
    <t>1.7.1.</t>
  </si>
  <si>
    <t>1.7.2.</t>
  </si>
  <si>
    <t>1.7.3.</t>
  </si>
  <si>
    <t>1.7.4.</t>
  </si>
  <si>
    <t>1.7.5.</t>
  </si>
  <si>
    <t>1.7.6.</t>
  </si>
  <si>
    <t>Пропущено сточных вод всего</t>
  </si>
  <si>
    <t>Собственные нужды</t>
  </si>
  <si>
    <t>Принято сточных вод от других канализаций</t>
  </si>
  <si>
    <t>Объем реализации услуг по потребителям всего, в том числе:</t>
  </si>
  <si>
    <t>1.3.3.</t>
  </si>
  <si>
    <t>Пропущено через собственные очистные сооружения</t>
  </si>
  <si>
    <t>Передано сточных вод другим канализациям:</t>
  </si>
  <si>
    <t>на очистные сооружения</t>
  </si>
  <si>
    <t>для транспортирования</t>
  </si>
  <si>
    <t>Сброшено стоков без очистки</t>
  </si>
  <si>
    <t>Расчет тарифа на водоотведение методом экономически обоснованных расходов (затрат)</t>
  </si>
  <si>
    <t>Расходы на текущий ремонт централизованных систем водоотведения либо объектов, входящих в состав таких систем</t>
  </si>
  <si>
    <t>Расходы на капитальный ремонт централизованных систем водоотведения либо объектов, входящих в состав таких систем</t>
  </si>
  <si>
    <t>Расходы на арендную плату, концессионную плату и лизинговые платежи в отношении централизованных систем одоотведения либо объектов, входящих в состав таких систем</t>
  </si>
  <si>
    <t>Расходы на обезвоживание, обезвреживание и захоронение осадка сточных вод</t>
  </si>
  <si>
    <t>Расходы на осуществление производственного контроля состава и свойств сточных вод, включая расходы на оборудование лабораторий, приобретение приборов и реагентов</t>
  </si>
  <si>
    <t>Расходы на оплату регулируемыми организациями выполняемых сторонними организациями работ и (или) услуг, связанных с эксплуатацией централизованных систем водоотведения либо объектов, входящих в состав таких систем</t>
  </si>
  <si>
    <t>Административные расходы за исключением расходов на оплату труда и страховых взносов административно-управленческого персонала:</t>
  </si>
  <si>
    <r>
      <rPr>
        <b/>
        <sz val="11"/>
        <rFont val="Times New Roman"/>
        <family val="1"/>
      </rPr>
      <t>2017 год</t>
    </r>
    <r>
      <rPr>
        <sz val="11"/>
        <rFont val="Times New Roman"/>
        <family val="1"/>
      </rPr>
      <t xml:space="preserve"> (утверждено дата и № НПА)</t>
    </r>
  </si>
  <si>
    <r>
      <rPr>
        <b/>
        <sz val="11"/>
        <rFont val="Times New Roman"/>
        <family val="1"/>
      </rPr>
      <t>2018 год</t>
    </r>
    <r>
      <rPr>
        <sz val="11"/>
        <rFont val="Times New Roman"/>
        <family val="1"/>
      </rPr>
      <t xml:space="preserve"> (утверждено дата и № НПА)</t>
    </r>
  </si>
  <si>
    <r>
      <t xml:space="preserve">Заявлено Предприятием </t>
    </r>
    <r>
      <rPr>
        <b/>
        <sz val="11"/>
        <rFont val="Times New Roman"/>
        <family val="1"/>
      </rPr>
      <t>на 2019 год</t>
    </r>
  </si>
  <si>
    <r>
      <t xml:space="preserve">По расчету экспертов </t>
    </r>
    <r>
      <rPr>
        <b/>
        <sz val="11"/>
        <rFont val="Times New Roman"/>
        <family val="1"/>
      </rPr>
      <t>на 2019 год</t>
    </r>
  </si>
  <si>
    <t>Основания, по которым произведен расчет экспертами</t>
  </si>
  <si>
    <t>Нормативы численности работников -канализационного хозяйства п.Листвянка</t>
  </si>
  <si>
    <t>1. Нормативы численности рабочих</t>
  </si>
  <si>
    <t>Контроль приема (сброса) сточных вод абонентов ( п 2.1.11 ,табл 11)</t>
  </si>
  <si>
    <t>Перечень профессий: инженер, техник, лаборант</t>
  </si>
  <si>
    <t>Объем пропуска воды через очистные сооружения канализации, тыс.м3, сут</t>
  </si>
  <si>
    <t>Нормативная численность,чел</t>
  </si>
  <si>
    <t xml:space="preserve">Явочная </t>
  </si>
  <si>
    <t>численность</t>
  </si>
  <si>
    <t>до 100</t>
  </si>
  <si>
    <t>3-4 чел</t>
  </si>
  <si>
    <t>Канализационные сети ( п 2.2.12 ,табл 26)</t>
  </si>
  <si>
    <t>транспортирование</t>
  </si>
  <si>
    <t xml:space="preserve">Перечень профессий: обходчик водопроводно-канализационной сети, </t>
  </si>
  <si>
    <t xml:space="preserve">электрогазосварщик , слесарь аварийно-восстановительных работ (АВР),  </t>
  </si>
  <si>
    <t>Протяженность канализационной сети, км</t>
  </si>
  <si>
    <t>до 10 км</t>
  </si>
  <si>
    <t>3 чел</t>
  </si>
  <si>
    <t xml:space="preserve">* Примечание: Согласно п. 4.2.4. Правил по охране труда при эксплуатации коммунального  водопроводного-канализационного </t>
  </si>
  <si>
    <t xml:space="preserve">хозяйства, утв. Приказом Минестерства по земельной политике, строительству и жилищно-коммунальному хозяйству </t>
  </si>
  <si>
    <t>№93 от 22.09.1998г (Минимальная численность при работе в канализационных колодцах - 3 человека)</t>
  </si>
  <si>
    <t>Насосные станции канализации ( п 2.2.11 ,табл 25)</t>
  </si>
  <si>
    <t xml:space="preserve">Перечень профессий: машинист насосных установок, слесарь-ремонтник, электромонтер по ремонту </t>
  </si>
  <si>
    <t>и обслуживанию</t>
  </si>
  <si>
    <t>электрооборудования, слесарь КИПиА</t>
  </si>
  <si>
    <t>Производительность насосной станции</t>
  </si>
  <si>
    <t>тыс. куб. м/сут</t>
  </si>
  <si>
    <t>КНС-1</t>
  </si>
  <si>
    <t>до 15</t>
  </si>
  <si>
    <t>4-6 чел</t>
  </si>
  <si>
    <t>КНС-2</t>
  </si>
  <si>
    <t>2-3 чел</t>
  </si>
  <si>
    <t xml:space="preserve">Нормативная численность рабочих канализационного хозяйства </t>
  </si>
  <si>
    <t>2.1.8. Оперативное руководство эксплуатацией канализационных насосных станций</t>
  </si>
  <si>
    <t>Должность: начальник очистных сооружений, главный инженер, инженер, техник, мастер</t>
  </si>
  <si>
    <t>Среднесписочная численность</t>
  </si>
  <si>
    <t>работающих на канализации, чел</t>
  </si>
  <si>
    <t>до 50</t>
  </si>
  <si>
    <t>1-2 чел</t>
  </si>
  <si>
    <t xml:space="preserve">Нормативная численность всех работников по водоотведению </t>
  </si>
  <si>
    <t>2.1.9. Оперативное руководство эксплуатацией очистных сооружений канализации</t>
  </si>
  <si>
    <t>Должность: начальник цеха, участка, техник, мастер</t>
  </si>
  <si>
    <t xml:space="preserve">   Пропуск сточных вод через очистные сооружения канализации</t>
  </si>
  <si>
    <t>тыс.куб.м в сутки</t>
  </si>
  <si>
    <t>до 40</t>
  </si>
  <si>
    <t>2.1.10. Оперативное руководство эксплуатацией канализационных сетей</t>
  </si>
  <si>
    <t>Должность: начальник службы, участка, инженер, техник, мастер</t>
  </si>
  <si>
    <t>Среднесписочная численность рабочих</t>
  </si>
  <si>
    <t xml:space="preserve">                     по эксплуатации  канализационных сетей, чел</t>
  </si>
  <si>
    <t>до 20</t>
  </si>
  <si>
    <t>2.1.11. Контроль приема ( сброса) сточных вод абонентов</t>
  </si>
  <si>
    <t>Должность: инженер, техник, лаборант</t>
  </si>
  <si>
    <t>2.1.12. Организация ремонтно-эксплуатационного обслуживания оборудования, контрольно-измерительных приборов и средств</t>
  </si>
  <si>
    <t>автоматики</t>
  </si>
  <si>
    <t>Должность: инженер, техник, мастер</t>
  </si>
  <si>
    <t>Объем подачи воды потребителям и (или) очистки (пропуска) сточных</t>
  </si>
  <si>
    <t>вод, тыс.куб.м в сутки</t>
  </si>
  <si>
    <t>2.1.13. Организация ремонтно-технического обслуживания зданий и сооружений</t>
  </si>
  <si>
    <t>Должность: начальник участка, инженер, техник, мастер</t>
  </si>
  <si>
    <t>2 чел</t>
  </si>
  <si>
    <t xml:space="preserve">Нормативная численность всех работников канализационного хозяйства </t>
  </si>
  <si>
    <t>2. Нормативы численности руководителей, специалистов и служащих</t>
  </si>
  <si>
    <t>Водоотведение и очистка стоков</t>
  </si>
  <si>
    <t>2.1 Общие функции управления (п.2.1,табл 1)</t>
  </si>
  <si>
    <t>Наименование функций</t>
  </si>
  <si>
    <t>среднесписочная численность</t>
  </si>
  <si>
    <t>нормативная численность</t>
  </si>
  <si>
    <t>управления</t>
  </si>
  <si>
    <t>работников, чел</t>
  </si>
  <si>
    <t>чел</t>
  </si>
  <si>
    <t xml:space="preserve">до 100 </t>
  </si>
  <si>
    <t>1.Общее руководство</t>
  </si>
  <si>
    <t xml:space="preserve">2. Бухгалтерский учет и </t>
  </si>
  <si>
    <t>финансовая деятельность</t>
  </si>
  <si>
    <t>4-5 чел</t>
  </si>
  <si>
    <t>3.Комлектование и учет</t>
  </si>
  <si>
    <t>кадров</t>
  </si>
  <si>
    <t>4.Материально-техническое</t>
  </si>
  <si>
    <t>снабжение</t>
  </si>
  <si>
    <t xml:space="preserve">5.Общее делопроизводство </t>
  </si>
  <si>
    <t>и хозяйственное обслуживание</t>
  </si>
  <si>
    <t>6.Организация технической</t>
  </si>
  <si>
    <t>эксплуатации систем водо-</t>
  </si>
  <si>
    <t>снабжения и канализации</t>
  </si>
  <si>
    <t>7.Охрана окружающей среды</t>
  </si>
  <si>
    <t>8.Охрана труда</t>
  </si>
  <si>
    <t>9.Правовое обслуживание</t>
  </si>
  <si>
    <t>10.Технико-экономическое</t>
  </si>
  <si>
    <t>планирование, организация</t>
  </si>
  <si>
    <t>труда и заработной платы</t>
  </si>
  <si>
    <t>Итого</t>
  </si>
  <si>
    <t>Должность</t>
  </si>
  <si>
    <t>Кол-во шт.ед</t>
  </si>
  <si>
    <t>Тарифная ставка</t>
  </si>
  <si>
    <t>З/пл в мес</t>
  </si>
  <si>
    <t>Премия</t>
  </si>
  <si>
    <t>Вредность</t>
  </si>
  <si>
    <t>Празд</t>
  </si>
  <si>
    <t>Ночн</t>
  </si>
  <si>
    <t>РК</t>
  </si>
  <si>
    <t>СН</t>
  </si>
  <si>
    <t>Всего мес</t>
  </si>
  <si>
    <t>Всего год</t>
  </si>
  <si>
    <t>Мастер</t>
  </si>
  <si>
    <t>Оператор КНС1</t>
  </si>
  <si>
    <t>Оператор КНС2</t>
  </si>
  <si>
    <t>Обходчик канализ сети</t>
  </si>
  <si>
    <t>Лаборант</t>
  </si>
  <si>
    <t>Пробоотборщик</t>
  </si>
  <si>
    <t>Наименование спецодежды</t>
  </si>
  <si>
    <t>Срок носки</t>
  </si>
  <si>
    <t>Кол-во спецодежды с учетом носки</t>
  </si>
  <si>
    <t>Цена с НДС</t>
  </si>
  <si>
    <t>Цена без НДС</t>
  </si>
  <si>
    <t>Сумма</t>
  </si>
  <si>
    <t>комбинезон хлопчатобумажный</t>
  </si>
  <si>
    <t>Плащ непромокаемый</t>
  </si>
  <si>
    <t>Фартук резиновый</t>
  </si>
  <si>
    <t>Ботинки кожаные</t>
  </si>
  <si>
    <t>Сапоги резиновые</t>
  </si>
  <si>
    <t>Рукавицы комбинированные</t>
  </si>
  <si>
    <t>Перчатки резиновые</t>
  </si>
  <si>
    <t>Костюм на утепляющей прокладке</t>
  </si>
  <si>
    <t>Сапоги кожанные утепленные</t>
  </si>
  <si>
    <t>до износа</t>
  </si>
  <si>
    <t>Халат хлопчатобумажный</t>
  </si>
  <si>
    <t>Жилет сигнальный</t>
  </si>
  <si>
    <t>Валенки с резин.низом</t>
  </si>
  <si>
    <t>Головной убор</t>
  </si>
  <si>
    <t>Очки защитные</t>
  </si>
  <si>
    <t>Респиратор</t>
  </si>
  <si>
    <t>Каска защитная</t>
  </si>
  <si>
    <t>Подшлемник на каску</t>
  </si>
  <si>
    <t>деж</t>
  </si>
  <si>
    <t>№</t>
  </si>
  <si>
    <t xml:space="preserve">Цеховые расходы </t>
  </si>
  <si>
    <t>п/п</t>
  </si>
  <si>
    <t>Статья расходов</t>
  </si>
  <si>
    <t>Предложение Предприятия</t>
  </si>
  <si>
    <t>По расчету экспертов Службы на 2015 год</t>
  </si>
  <si>
    <t>Обоснование</t>
  </si>
  <si>
    <t>Расходы на оплату труда цехового персонала</t>
  </si>
  <si>
    <t>Представлены штатные расписания цехового и основного производственного персонала Предприятия на 2015 год.</t>
  </si>
  <si>
    <t>Нормативная численность принята согласно расчету экспертов Службы в соответствии с приказом Госстроя РФ от 12 октября 1999 года N 74 «Об утверждении нормативов численности руководителей, специалистов и служащих коммунальных теплоэнергетических предприятий" с учетом принятой экспертами Службы нормативной численности масторов (1,32 ставки). Эксперты Службы провели анализ представленного расчета среднемесячной заработной платы. Учитывая, что все заявленные выплаты и доплаты не превышают соответствующие выплаты по отраслевому тарифному соглашению в сфере ЖКХ на 2014 - 2016 годы, а также среднюю заработную плату основных производственных рабочих с применением ИПЦ на 2015 год по Предприятию, ранее эксплуатировавшему теплоисточник, принимается предложение Предприятия.</t>
  </si>
  <si>
    <t>Отчисления - 30,2%</t>
  </si>
  <si>
    <t>Отчисления на социальные нужды - 30,2%</t>
  </si>
  <si>
    <t>Принят в соответствии с Федеральным Законом от 24.07.2009 № 212-ФЗ "О страховых взносах в ПФ РФ, ФСС РФ, ФФОМС" на основании представленного уведомления о размере страховых взносов на обязательное социальное страхование от несчастных случаев на производстве и профессиональных заболеваний.</t>
  </si>
  <si>
    <t>Затраты на ГСМ</t>
  </si>
  <si>
    <t>Согласно приказу №6 от 3.09.  2015 г. при работе на собственном транспорте</t>
  </si>
  <si>
    <t>Расходы исключены как экономически не обоснованные.</t>
  </si>
  <si>
    <t>Услуги связи</t>
  </si>
  <si>
    <t>Ростелеком</t>
  </si>
  <si>
    <t xml:space="preserve">Расчет и обоснование необходимости расходов на сотовую связь не представлены. Договор на предоставление услуг связи отсутствует. Учитывая производственную необходимость, приняты расходы в размере абонентской платы за стационарную связь, согласно тарифам на услуги местной связи и тарифного плана "Безлимитный" ОАО "Ростелеком", действующие на 01.05.2014 года и расчета на 2 стационарный телефона. Согласно официальной информации ОАО "Ростелеком"безлимитный тариф составляет 470,0 руб./месяц. </t>
  </si>
  <si>
    <t>Охрана труда и техника безопасности</t>
  </si>
  <si>
    <t>1) Заявлены расходы на спец одежду, мыло хозяйственное. Представлен договор поставки с ИП Василевским А.В., заключенный в результате проведения открытого конкурса; 2) Заявлены расходы на прохождение медкомиссии. Представлен договор по проведению предварительных и периодических медицинских осмотров, заключенный с ОАО Международный аэропорт Иркутск в результате проведения открытого конкурса, список профессий, подлежащих периодическим осмотрам.</t>
  </si>
  <si>
    <r>
      <t>1) Расчет расходов на спец. одежду произведен экспертами Службы в соответствиии с принятой нормативной численностью работников, а также исходя из нормы выдачи специальной одежды на одного работника согласно приказу Минздравсоцразвития России от 09.12.2014N 997н; 2) На основании приказа от 12.04.2011 г. N 302н периодические осмотры проводятся в соответствии поименными списками, которые разработанны на основании контингентов работников. Включению в списки контингента и поименные списки подлежат  работники, подвергающиеся воздействию вредных производственных факторов, указанных в Перечне факторов, а также вредных производственных факторов, наличие которых установлено по результатам аттестации рабочих мест по условиям труда, проведенной в установленном порядке .Утвержденные в соответствующем порядке списки контингента, результаты аттестации рабочих мест по данным профессиям Предприятием не представлены. Учитывая необходимость проведения медицинских осмотров, в расчёт приняты затраты на медицинский осмотр в количестве 1,32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чел. исходя из нормативной численности; 3) Не представлен нормативный акт предприятия , закрепляющий нормы и порядок бесплатной выдачи смывающих средств, в связи с этим у экспертов отсутствует возможность расчитать экономически обоснованные расходы по данной статье.</t>
    </r>
  </si>
  <si>
    <t>Специальная оценка условий труда</t>
  </si>
  <si>
    <t>договор от 09.11.2015 № 9/СК.</t>
  </si>
  <si>
    <t>Расходы приняты исходя из нормативной численности цехового персонала, рассчинной Службой в количестве 1,32 ставки, и стоимости оценки одного рабочего места согласно представленному договору от 09.11.2015 № 9/СК, заключенному в результате проведения торгов.</t>
  </si>
  <si>
    <t xml:space="preserve">Обучение </t>
  </si>
  <si>
    <t>договор от 11.11.2015 №10/СК.</t>
  </si>
  <si>
    <t>Расходы, заявленные Предприятием не могут быть признаны экономически обоснованными по следующим основаниям: не представлено обоснование необходимости заявленных расходов а также обоснование расходов в соответствии с пунктом 28 Основ ценообразования в том числе договор на оказание образовательных услуг на 2015 год, заключенный по результатам проведенных торгов. Расходы исключены в полном объеме.</t>
  </si>
  <si>
    <t xml:space="preserve">Итого цеховые расходы </t>
  </si>
  <si>
    <t>-</t>
  </si>
  <si>
    <t>Распред.</t>
  </si>
  <si>
    <t>мазутная</t>
  </si>
  <si>
    <t>угольная</t>
  </si>
  <si>
    <t xml:space="preserve">Расшифровка общехозяйственных расходов </t>
  </si>
  <si>
    <t>Заработная плата АУП</t>
  </si>
  <si>
    <t>Представлено штатное расписание с 1 января  2016 года.</t>
  </si>
  <si>
    <t>Расходы рассмотрены по статье "Заработная плата АУП".</t>
  </si>
  <si>
    <t>Отчисления на соц. нужды</t>
  </si>
  <si>
    <t>Аренда кабинетов</t>
  </si>
  <si>
    <t>Представлен договор аренды недвижимого имущества № 17/СК от 23.11.2015 г. (заключен в результате проведения торгов).</t>
  </si>
  <si>
    <t xml:space="preserve">В соответствии с пп. 3 п.25 Основ ценообразования к административным расходам относится, в том числе арендная платая. не связанная с арендой централизованных систем водоснабжения и водоотведения. Расходы приняты в размере, определенной по результатам торгов, проведенных торгов (открытый конкурс), извещение  № 315 29 7618 в доле, относимой на деятельность по оказанию услуг водоснабжения и водоотведения. </t>
  </si>
  <si>
    <t>Расходы на транспорт,  в  том числе:</t>
  </si>
  <si>
    <t>4.1</t>
  </si>
  <si>
    <t xml:space="preserve"> на оплату труда водителя</t>
  </si>
  <si>
    <t>Расходы приняты  по предложению Предприятия в доле, относимой на деятельность по оказанию услуг водоснабжения и водоотведения. .</t>
  </si>
  <si>
    <t>числе отчисления на соц. Нужды</t>
  </si>
  <si>
    <t>Расчет произведен экспертами Службы исходя из принятого ФОТ и суммарной ставки отчислений  в размере 30,2%</t>
  </si>
  <si>
    <t>4.2</t>
  </si>
  <si>
    <t>Представлен договор аренды транспортных средств без экипажа (заключен в результате проведения торгов) расчет потребности в горюче-смазочных материалах (далее - ГСМ), договор от 13.11.2015 г. № 14/СК-2 и № 14/СК-3 от 13.11.2015 г. (заключен в результате проведения торгов).</t>
  </si>
  <si>
    <t>4.3</t>
  </si>
  <si>
    <t xml:space="preserve">Затраты на  ГСМ </t>
  </si>
  <si>
    <t xml:space="preserve">Согласно договору  аренды транспортных средств без экипажа Заявлены расходы на ГСМ для арендуемых автомобилей без экипажа. </t>
  </si>
  <si>
    <t xml:space="preserve">Согласно договору №16121 от 01.10.2015 г.Сумма затрат в месяц 4437,98 руб  </t>
  </si>
  <si>
    <t xml:space="preserve">Расходы приняты  по предложению Предприятия. </t>
  </si>
  <si>
    <t>Канцелярия</t>
  </si>
  <si>
    <t>Представлен расчет расходов на канцелярские товары для общехозяйственного и цехового персонала, договор от 30.11.15 № 20/СК (заключен в результате проведения торгов).</t>
  </si>
  <si>
    <t>Обслуживание компьютеров</t>
  </si>
  <si>
    <t>Исключены в связи с отсутствием обоснования.</t>
  </si>
  <si>
    <t>Заправка картриджей</t>
  </si>
  <si>
    <t>Расходы приняты по предложению Предприятия.</t>
  </si>
  <si>
    <t xml:space="preserve">ИТОГО </t>
  </si>
  <si>
    <t xml:space="preserve">                                       Распределение общехозяйственных расходов</t>
  </si>
  <si>
    <t>з/плата     угольная котельная</t>
  </si>
  <si>
    <t>з/плата     мазутная  котельная</t>
  </si>
  <si>
    <t xml:space="preserve">з/плата     т/сети  от "Иркутскэнерго"  </t>
  </si>
  <si>
    <t xml:space="preserve">з/плата     т/сети  от "Байкал - Отель" </t>
  </si>
  <si>
    <t>Итого з/плата</t>
  </si>
  <si>
    <t>ВС</t>
  </si>
  <si>
    <t>ВО трансп</t>
  </si>
  <si>
    <t>ВО очистка</t>
  </si>
  <si>
    <t>итого</t>
  </si>
  <si>
    <t>Директор</t>
  </si>
  <si>
    <t>Главный инженер</t>
  </si>
  <si>
    <t>Главный бухгалтер</t>
  </si>
  <si>
    <t>Ведущий экономист</t>
  </si>
  <si>
    <t>Инженер по охране труда</t>
  </si>
  <si>
    <t>Специалист по торгам</t>
  </si>
  <si>
    <t>Специалист по договорам</t>
  </si>
  <si>
    <t>Водитель</t>
  </si>
  <si>
    <t>ВСЕГО</t>
  </si>
  <si>
    <t>Представлено  штатное расписание с 1  января 2019 года.</t>
  </si>
  <si>
    <t>Расходы на автотранспорт</t>
  </si>
  <si>
    <t>Договор не предоставлен</t>
  </si>
  <si>
    <t>всего</t>
  </si>
  <si>
    <t>Вотр</t>
  </si>
  <si>
    <t>смета</t>
  </si>
  <si>
    <t>по договору</t>
  </si>
  <si>
    <t>принято МО</t>
  </si>
  <si>
    <t>Расходы на транспорт</t>
  </si>
  <si>
    <t>оплата труда водителя</t>
  </si>
  <si>
    <t>расчет</t>
  </si>
  <si>
    <t>Аренда транспорта</t>
  </si>
  <si>
    <t>Lada</t>
  </si>
  <si>
    <t>14/СК-2</t>
  </si>
  <si>
    <t>УАЗ</t>
  </si>
  <si>
    <t>14/СК-1</t>
  </si>
  <si>
    <t>Затраты ГСМ</t>
  </si>
  <si>
    <t>Расчет</t>
  </si>
  <si>
    <t>20/СК</t>
  </si>
  <si>
    <t>Обсл. Комп</t>
  </si>
  <si>
    <t>22/СК</t>
  </si>
  <si>
    <t>Заправка картр.</t>
  </si>
  <si>
    <t>19/СК</t>
  </si>
  <si>
    <t>9/СК</t>
  </si>
  <si>
    <t>Договор аренды</t>
  </si>
  <si>
    <t>Лексус</t>
  </si>
  <si>
    <t>21 от 11.01.19</t>
  </si>
  <si>
    <t>Приказ 19 от 10.01.19</t>
  </si>
  <si>
    <t>Электрогазосварщик</t>
  </si>
  <si>
    <t>Электрик</t>
  </si>
  <si>
    <t>Слесарь-ремонтник</t>
  </si>
  <si>
    <t>Слесарь-сантехник</t>
  </si>
  <si>
    <t>Водитель УАЗ</t>
  </si>
  <si>
    <t>Мазут.кот</t>
  </si>
  <si>
    <t>Угольн.кот</t>
  </si>
  <si>
    <t>Вода</t>
  </si>
  <si>
    <t>Трансп сточ.вод</t>
  </si>
  <si>
    <t>ФОТ</t>
  </si>
  <si>
    <t>расходы по АДС</t>
  </si>
  <si>
    <t>мазут</t>
  </si>
  <si>
    <t>Уголь</t>
  </si>
  <si>
    <t>принято по расчету предприятия</t>
  </si>
  <si>
    <t xml:space="preserve">В расчет приняты фактические объемы  2017 года. </t>
  </si>
  <si>
    <t>По вышеприведенным основаниям</t>
  </si>
  <si>
    <t xml:space="preserve">Расходы приняты с учетом корректировки доплаты за вредность и премии. В соответствии со статьей 146 ТК РФ минимальный размер повышения оплаты труда работникам, занятым на  работах с вредными условиями труда , составляет 4% тарифной ставки. Расходы приняты с учетом выплаты надбавки за вредные условия труда в размере 4%, вместо 8%, учтенных Предприятием в связи с отсутствием основания выплаты надбавки за вредность в большем размере (отсутствует аттестация рабочих мест).Сумма премии исключена из фонда оплаты труда. </t>
  </si>
  <si>
    <t>Принята в соответствии со штатным расписанием и рекомендациями утвержденными приказом Госстроя России от 22.03.1999г №66</t>
  </si>
  <si>
    <t>Расходы приняты в размере 30,2% от фонда оплаты труда.</t>
  </si>
  <si>
    <t>Приняты по расчету Предприятия.</t>
  </si>
  <si>
    <t>Принята в соответствии со штатным расписанием и рекомендациями, утвержденными приказом Госстроя России от 22.03.1999 № 66.</t>
  </si>
  <si>
    <t>Не приняты в связи с отсутствием основания</t>
  </si>
  <si>
    <t xml:space="preserve">Расходы на приобретение спецодежды приняты по расчету Предприятия исходя из скорректированной численности персонала. Медицинские осмотры в соответствии с приказом  от 12.04.2011 г. N 302н  проводятся для работников, подвергающихся воздействию вредных производственных факторов, наличие которых установливается по результатам аттестации рабочих мест по условиям труда, проведенной в установленном порядке . Утвержденные в соответствующем порядке списки Предприятием не представлены. Учитывая необходимость проведения медицинских осмотров, в расчёт приняты затраты на медицинский осмотр исходя из нормативной численности. Расходы на смывающие средства исключены, так как  нормативный акт Предприятия, закрепляющий нормы и порядок бесплатной выдачи смывающих средств не представлен. </t>
  </si>
  <si>
    <t>Среднемесячная заработная плата согласно штатному расписанию</t>
  </si>
  <si>
    <t>Расходы приняты по расчету Предприятия в доле, относимой на регулируемый вид деятельности пропорционально фонду оплаты труда основного производственного персонала по всем видам деятельности.</t>
  </si>
  <si>
    <t>Расходы приняты согласно инвестиционной программы</t>
  </si>
  <si>
    <t>Расходы приняты по ставке 20% от суммы инывестиций</t>
  </si>
  <si>
    <t>Представлен локальный ресурсный сметный расчет на текущий ремонт канализационных сетей и КНС на территории Листвянского МО</t>
  </si>
  <si>
    <t>Представлены: 1.) приказ №19 от 10.01.2019г. о компенсации за использование телефонов сотовой связи в производственных целях, 2) договор аренды офисного помещения №01/2017от 01.01.2017, 3.)договоры аренды транспортного средства  от 11.01.2019 № 21, 4)приказ№8 от 11.01.2019г. О выделении денежных средств по договору №21 от 11.01.2019г., 5.) расчет затрат на перевозку работников, 6)  договор поставки канцтоваров от 03.04.2018 №60/СК; 7.) доп.соглашение к договору №46/СК от 10.5.2018г. на обслуживания компьютеров от 15.04.2019</t>
  </si>
  <si>
    <t>предоставлено штатное расписание</t>
  </si>
  <si>
    <t>Предоставлены 1) договор №76-110518 от 01.05.2019г. На проведение медосмотров, 2) договор поставки спецодежды №59/СК от 02.04.2019г.</t>
  </si>
  <si>
    <t>представлено штатное расписание АДС</t>
  </si>
  <si>
    <t xml:space="preserve">Представлен договор №62/СК от 17.04.2019г. </t>
  </si>
  <si>
    <t>представлено штатное расписание основного персонала</t>
  </si>
  <si>
    <t>представлена инвестиционная программа</t>
  </si>
  <si>
    <t>Савельева Г.А.</t>
  </si>
  <si>
    <t>Листвянского муниципального образования Иркутского района</t>
  </si>
  <si>
    <t>Из сметы исключены расходы на ремонт канализационных люков, ремонт отмостки, и на промывку канализационных трубопроводов, т.к. данные работы включены в инвест.программу</t>
  </si>
  <si>
    <t xml:space="preserve"> для потребителей ООО "Сервис", оказывающего услуги водоотведения (приема и транспортировки сточных вод) на территории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</si>
</sst>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_ ;\-#,##0.0\ "/>
    <numFmt numFmtId="181" formatCode="0.0%"/>
    <numFmt numFmtId="182" formatCode="#,##0.00_ ;\-#,##0.00\ "/>
    <numFmt numFmtId="183" formatCode="0.0"/>
    <numFmt numFmtId="184" formatCode="#,##0.0"/>
    <numFmt numFmtId="185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0.5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17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/>
      <protection/>
    </xf>
    <xf numFmtId="180" fontId="2" fillId="33" borderId="11" xfId="61" applyNumberFormat="1" applyFont="1" applyFill="1" applyBorder="1" applyAlignment="1" applyProtection="1">
      <alignment horizontal="center" vertical="center"/>
      <protection/>
    </xf>
    <xf numFmtId="180" fontId="2" fillId="0" borderId="11" xfId="61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180" fontId="2" fillId="0" borderId="11" xfId="61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180" fontId="2" fillId="0" borderId="11" xfId="61" applyNumberFormat="1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left" vertical="center" wrapText="1" indent="2"/>
      <protection locked="0"/>
    </xf>
    <xf numFmtId="0" fontId="2" fillId="33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Border="1" applyAlignment="1" applyProtection="1">
      <alignment horizontal="left" vertical="center" wrapText="1" indent="2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16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 wrapText="1" indent="1"/>
      <protection locked="0"/>
    </xf>
    <xf numFmtId="0" fontId="2" fillId="0" borderId="11" xfId="0" applyFont="1" applyBorder="1" applyAlignment="1" applyProtection="1">
      <alignment horizontal="left" vertical="center" wrapText="1" indent="3"/>
      <protection locked="0"/>
    </xf>
    <xf numFmtId="0" fontId="2" fillId="0" borderId="11" xfId="0" applyFont="1" applyFill="1" applyBorder="1" applyAlignment="1" applyProtection="1">
      <alignment horizontal="left" vertical="center" wrapText="1" indent="3"/>
      <protection locked="0"/>
    </xf>
    <xf numFmtId="0" fontId="2" fillId="34" borderId="11" xfId="0" applyFont="1" applyFill="1" applyBorder="1" applyAlignment="1" applyProtection="1">
      <alignment horizontal="left" vertical="center" wrapText="1" indent="2"/>
      <protection locked="0"/>
    </xf>
    <xf numFmtId="0" fontId="2" fillId="34" borderId="11" xfId="0" applyFont="1" applyFill="1" applyBorder="1" applyAlignment="1" applyProtection="1">
      <alignment horizontal="left" vertical="center" wrapText="1" indent="3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 indent="2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left" vertical="center"/>
      <protection/>
    </xf>
    <xf numFmtId="182" fontId="7" fillId="33" borderId="11" xfId="61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 locked="0"/>
    </xf>
    <xf numFmtId="180" fontId="2" fillId="33" borderId="11" xfId="61" applyNumberFormat="1" applyFont="1" applyFill="1" applyBorder="1" applyAlignment="1" applyProtection="1">
      <alignment horizontal="left" vertical="top" wrapText="1"/>
      <protection locked="0"/>
    </xf>
    <xf numFmtId="14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181" fontId="2" fillId="0" borderId="11" xfId="58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 vertical="center" indent="3"/>
      <protection locked="0"/>
    </xf>
    <xf numFmtId="180" fontId="2" fillId="0" borderId="11" xfId="61" applyNumberFormat="1" applyFont="1" applyFill="1" applyBorder="1" applyAlignment="1" applyProtection="1">
      <alignment horizontal="center" vertical="center"/>
      <protection/>
    </xf>
    <xf numFmtId="183" fontId="2" fillId="0" borderId="11" xfId="58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 wrapText="1"/>
      <protection locked="0"/>
    </xf>
    <xf numFmtId="9" fontId="2" fillId="0" borderId="11" xfId="58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9" fontId="2" fillId="19" borderId="11" xfId="58" applyFont="1" applyFill="1" applyBorder="1" applyAlignment="1" applyProtection="1">
      <alignment horizontal="center" vertical="center" wrapText="1"/>
      <protection locked="0"/>
    </xf>
    <xf numFmtId="9" fontId="2" fillId="13" borderId="11" xfId="58" applyFont="1" applyFill="1" applyBorder="1" applyAlignment="1" applyProtection="1">
      <alignment horizontal="center" vertical="center" wrapText="1"/>
      <protection locked="0"/>
    </xf>
    <xf numFmtId="0" fontId="0" fillId="0" borderId="0" xfId="53">
      <alignment/>
      <protection/>
    </xf>
    <xf numFmtId="0" fontId="5" fillId="0" borderId="0" xfId="53" applyFont="1">
      <alignment/>
      <protection/>
    </xf>
    <xf numFmtId="0" fontId="9" fillId="0" borderId="0" xfId="53" applyFont="1">
      <alignment/>
      <protection/>
    </xf>
    <xf numFmtId="0" fontId="10" fillId="0" borderId="0" xfId="53" applyFont="1" applyAlignment="1">
      <alignment horizontal="center"/>
      <protection/>
    </xf>
    <xf numFmtId="0" fontId="11" fillId="0" borderId="0" xfId="53" applyFont="1">
      <alignment/>
      <protection/>
    </xf>
    <xf numFmtId="0" fontId="5" fillId="0" borderId="12" xfId="53" applyFont="1" applyBorder="1">
      <alignment/>
      <protection/>
    </xf>
    <xf numFmtId="0" fontId="5" fillId="0" borderId="13" xfId="53" applyFont="1" applyBorder="1">
      <alignment/>
      <protection/>
    </xf>
    <xf numFmtId="0" fontId="5" fillId="0" borderId="14" xfId="53" applyFont="1" applyBorder="1">
      <alignment/>
      <protection/>
    </xf>
    <xf numFmtId="0" fontId="5" fillId="0" borderId="12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0" fontId="5" fillId="0" borderId="15" xfId="53" applyFont="1" applyBorder="1">
      <alignment/>
      <protection/>
    </xf>
    <xf numFmtId="0" fontId="5" fillId="0" borderId="16" xfId="53" applyFont="1" applyBorder="1">
      <alignment/>
      <protection/>
    </xf>
    <xf numFmtId="0" fontId="5" fillId="0" borderId="17" xfId="53" applyFont="1" applyBorder="1">
      <alignment/>
      <protection/>
    </xf>
    <xf numFmtId="0" fontId="5" fillId="0" borderId="15" xfId="53" applyFont="1" applyBorder="1" applyAlignment="1">
      <alignment horizontal="center"/>
      <protection/>
    </xf>
    <xf numFmtId="0" fontId="5" fillId="0" borderId="17" xfId="53" applyFont="1" applyBorder="1" applyAlignment="1">
      <alignment horizontal="center"/>
      <protection/>
    </xf>
    <xf numFmtId="0" fontId="5" fillId="0" borderId="18" xfId="53" applyFont="1" applyFill="1" applyBorder="1">
      <alignment/>
      <protection/>
    </xf>
    <xf numFmtId="0" fontId="5" fillId="0" borderId="19" xfId="53" applyFont="1" applyBorder="1">
      <alignment/>
      <protection/>
    </xf>
    <xf numFmtId="0" fontId="5" fillId="35" borderId="20" xfId="53" applyFont="1" applyFill="1" applyBorder="1">
      <alignment/>
      <protection/>
    </xf>
    <xf numFmtId="0" fontId="5" fillId="0" borderId="11" xfId="53" applyFont="1" applyBorder="1" applyAlignment="1">
      <alignment horizontal="center"/>
      <protection/>
    </xf>
    <xf numFmtId="0" fontId="5" fillId="0" borderId="0" xfId="53" applyFont="1" applyAlignment="1">
      <alignment/>
      <protection/>
    </xf>
    <xf numFmtId="0" fontId="5" fillId="0" borderId="0" xfId="53" applyFont="1" applyAlignment="1">
      <alignment horizontal="left"/>
      <protection/>
    </xf>
    <xf numFmtId="0" fontId="5" fillId="0" borderId="18" xfId="53" applyFont="1" applyBorder="1" applyAlignment="1">
      <alignment/>
      <protection/>
    </xf>
    <xf numFmtId="0" fontId="5" fillId="0" borderId="19" xfId="53" applyFont="1" applyBorder="1" applyAlignment="1">
      <alignment/>
      <protection/>
    </xf>
    <xf numFmtId="0" fontId="5" fillId="0" borderId="19" xfId="53" applyFont="1" applyFill="1" applyBorder="1" applyAlignment="1">
      <alignment/>
      <protection/>
    </xf>
    <xf numFmtId="0" fontId="5" fillId="0" borderId="20" xfId="53" applyFont="1" applyBorder="1" applyAlignment="1">
      <alignment/>
      <protection/>
    </xf>
    <xf numFmtId="0" fontId="5" fillId="0" borderId="0" xfId="53" applyFont="1" applyBorder="1" applyAlignment="1">
      <alignment/>
      <protection/>
    </xf>
    <xf numFmtId="0" fontId="5" fillId="0" borderId="0" xfId="53" applyFont="1" applyFill="1" applyBorder="1" applyAlignment="1">
      <alignment/>
      <protection/>
    </xf>
    <xf numFmtId="2" fontId="5" fillId="0" borderId="0" xfId="53" applyNumberFormat="1" applyFont="1">
      <alignment/>
      <protection/>
    </xf>
    <xf numFmtId="16" fontId="5" fillId="0" borderId="0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2" fontId="5" fillId="0" borderId="0" xfId="53" applyNumberFormat="1" applyFont="1" applyFill="1" applyBorder="1" applyAlignment="1">
      <alignment horizontal="center"/>
      <protection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5" fillId="0" borderId="13" xfId="53" applyFont="1" applyBorder="1" applyAlignment="1">
      <alignment horizontal="center"/>
      <protection/>
    </xf>
    <xf numFmtId="2" fontId="5" fillId="0" borderId="0" xfId="53" applyNumberFormat="1" applyFont="1" applyBorder="1" applyAlignment="1">
      <alignment horizontal="center"/>
      <protection/>
    </xf>
    <xf numFmtId="0" fontId="5" fillId="0" borderId="19" xfId="53" applyFont="1" applyBorder="1" applyAlignment="1">
      <alignment horizontal="center"/>
      <protection/>
    </xf>
    <xf numFmtId="183" fontId="4" fillId="0" borderId="0" xfId="53" applyNumberFormat="1" applyFont="1" applyBorder="1" applyAlignment="1">
      <alignment horizontal="center"/>
      <protection/>
    </xf>
    <xf numFmtId="2" fontId="0" fillId="36" borderId="0" xfId="0" applyNumberFormat="1" applyFill="1" applyAlignment="1">
      <alignment/>
    </xf>
    <xf numFmtId="0" fontId="5" fillId="0" borderId="16" xfId="53" applyFont="1" applyBorder="1" applyAlignment="1">
      <alignment horizontal="center"/>
      <protection/>
    </xf>
    <xf numFmtId="183" fontId="5" fillId="0" borderId="19" xfId="53" applyNumberFormat="1" applyFont="1" applyFill="1" applyBorder="1" applyAlignment="1">
      <alignment/>
      <protection/>
    </xf>
    <xf numFmtId="0" fontId="5" fillId="0" borderId="0" xfId="53" applyFont="1" applyBorder="1">
      <alignment/>
      <protection/>
    </xf>
    <xf numFmtId="183" fontId="5" fillId="0" borderId="0" xfId="53" applyNumberFormat="1" applyFont="1" applyBorder="1" applyAlignment="1">
      <alignment/>
      <protection/>
    </xf>
    <xf numFmtId="2" fontId="4" fillId="0" borderId="0" xfId="53" applyNumberFormat="1" applyFont="1" applyBorder="1" applyAlignment="1">
      <alignment horizontal="center"/>
      <protection/>
    </xf>
    <xf numFmtId="183" fontId="5" fillId="0" borderId="0" xfId="53" applyNumberFormat="1" applyFont="1" applyBorder="1" applyAlignment="1">
      <alignment horizontal="center"/>
      <protection/>
    </xf>
    <xf numFmtId="0" fontId="5" fillId="0" borderId="12" xfId="53" applyFont="1" applyBorder="1" applyAlignment="1">
      <alignment/>
      <protection/>
    </xf>
    <xf numFmtId="0" fontId="5" fillId="0" borderId="13" xfId="53" applyFont="1" applyBorder="1" applyAlignment="1">
      <alignment/>
      <protection/>
    </xf>
    <xf numFmtId="0" fontId="5" fillId="0" borderId="13" xfId="53" applyFont="1" applyBorder="1" applyAlignment="1">
      <alignment horizontal="left"/>
      <protection/>
    </xf>
    <xf numFmtId="0" fontId="5" fillId="0" borderId="14" xfId="53" applyFont="1" applyBorder="1" applyAlignment="1">
      <alignment/>
      <protection/>
    </xf>
    <xf numFmtId="183" fontId="5" fillId="0" borderId="0" xfId="53" applyNumberFormat="1" applyFont="1" applyAlignment="1">
      <alignment horizontal="left"/>
      <protection/>
    </xf>
    <xf numFmtId="0" fontId="0" fillId="38" borderId="0" xfId="0" applyFill="1" applyAlignment="1">
      <alignment/>
    </xf>
    <xf numFmtId="0" fontId="5" fillId="0" borderId="15" xfId="53" applyFont="1" applyBorder="1" applyAlignment="1">
      <alignment/>
      <protection/>
    </xf>
    <xf numFmtId="0" fontId="5" fillId="0" borderId="16" xfId="53" applyFont="1" applyBorder="1" applyAlignment="1">
      <alignment/>
      <protection/>
    </xf>
    <xf numFmtId="0" fontId="5" fillId="0" borderId="17" xfId="53" applyFont="1" applyBorder="1" applyAlignment="1">
      <alignment/>
      <protection/>
    </xf>
    <xf numFmtId="0" fontId="12" fillId="0" borderId="0" xfId="53" applyFont="1" applyAlignment="1">
      <alignment horizontal="left"/>
      <protection/>
    </xf>
    <xf numFmtId="2" fontId="0" fillId="0" borderId="0" xfId="0" applyNumberFormat="1" applyAlignment="1">
      <alignment/>
    </xf>
    <xf numFmtId="183" fontId="5" fillId="0" borderId="0" xfId="53" applyNumberFormat="1" applyFont="1" applyFill="1" applyBorder="1" applyAlignment="1">
      <alignment/>
      <protection/>
    </xf>
    <xf numFmtId="0" fontId="5" fillId="0" borderId="18" xfId="53" applyFont="1" applyBorder="1">
      <alignment/>
      <protection/>
    </xf>
    <xf numFmtId="0" fontId="5" fillId="0" borderId="20" xfId="53" applyFont="1" applyBorder="1">
      <alignment/>
      <protection/>
    </xf>
    <xf numFmtId="0" fontId="5" fillId="0" borderId="12" xfId="53" applyFont="1" applyFill="1" applyBorder="1">
      <alignment/>
      <protection/>
    </xf>
    <xf numFmtId="0" fontId="5" fillId="0" borderId="15" xfId="53" applyFont="1" applyFill="1" applyBorder="1">
      <alignment/>
      <protection/>
    </xf>
    <xf numFmtId="0" fontId="5" fillId="0" borderId="21" xfId="53" applyFont="1" applyFill="1" applyBorder="1">
      <alignment/>
      <protection/>
    </xf>
    <xf numFmtId="0" fontId="5" fillId="0" borderId="22" xfId="53" applyFont="1" applyBorder="1">
      <alignment/>
      <protection/>
    </xf>
    <xf numFmtId="0" fontId="5" fillId="0" borderId="10" xfId="53" applyFont="1" applyBorder="1" applyAlignment="1">
      <alignment horizontal="center"/>
      <protection/>
    </xf>
    <xf numFmtId="0" fontId="5" fillId="0" borderId="23" xfId="53" applyFont="1" applyBorder="1" applyAlignment="1">
      <alignment horizontal="center"/>
      <protection/>
    </xf>
    <xf numFmtId="0" fontId="5" fillId="0" borderId="24" xfId="53" applyFont="1" applyBorder="1" applyAlignment="1">
      <alignment horizontal="center"/>
      <protection/>
    </xf>
    <xf numFmtId="0" fontId="5" fillId="0" borderId="11" xfId="53" applyFont="1" applyFill="1" applyBorder="1" applyAlignment="1">
      <alignment horizontal="center"/>
      <protection/>
    </xf>
    <xf numFmtId="0" fontId="5" fillId="0" borderId="21" xfId="53" applyFont="1" applyBorder="1" applyAlignment="1">
      <alignment horizontal="center"/>
      <protection/>
    </xf>
    <xf numFmtId="0" fontId="5" fillId="0" borderId="0" xfId="53" applyFont="1" applyFill="1" applyBorder="1">
      <alignment/>
      <protection/>
    </xf>
    <xf numFmtId="0" fontId="4" fillId="0" borderId="0" xfId="53" applyFont="1">
      <alignment/>
      <protection/>
    </xf>
    <xf numFmtId="0" fontId="0" fillId="17" borderId="11" xfId="0" applyFill="1" applyBorder="1" applyAlignment="1">
      <alignment/>
    </xf>
    <xf numFmtId="2" fontId="5" fillId="17" borderId="0" xfId="53" applyNumberFormat="1" applyFont="1" applyFill="1">
      <alignment/>
      <protection/>
    </xf>
    <xf numFmtId="0" fontId="0" fillId="0" borderId="11" xfId="0" applyBorder="1" applyAlignment="1">
      <alignment/>
    </xf>
    <xf numFmtId="0" fontId="0" fillId="0" borderId="2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 wrapText="1"/>
    </xf>
    <xf numFmtId="0" fontId="44" fillId="0" borderId="11" xfId="0" applyFont="1" applyBorder="1" applyAlignment="1">
      <alignment/>
    </xf>
    <xf numFmtId="0" fontId="54" fillId="0" borderId="11" xfId="0" applyFont="1" applyBorder="1" applyAlignment="1">
      <alignment horizontal="center" wrapText="1"/>
    </xf>
    <xf numFmtId="0" fontId="54" fillId="0" borderId="11" xfId="0" applyFont="1" applyBorder="1" applyAlignment="1">
      <alignment/>
    </xf>
    <xf numFmtId="0" fontId="44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Alignment="1">
      <alignment wrapText="1" shrinkToFit="1"/>
    </xf>
    <xf numFmtId="0" fontId="5" fillId="0" borderId="0" xfId="0" applyFont="1" applyFill="1" applyAlignment="1">
      <alignment/>
    </xf>
    <xf numFmtId="0" fontId="13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0" fillId="0" borderId="29" xfId="0" applyBorder="1" applyAlignment="1">
      <alignment horizontal="center"/>
    </xf>
    <xf numFmtId="0" fontId="5" fillId="0" borderId="24" xfId="0" applyFont="1" applyFill="1" applyBorder="1" applyAlignment="1">
      <alignment horizontal="left" vertical="center" wrapText="1" shrinkToFit="1"/>
    </xf>
    <xf numFmtId="2" fontId="5" fillId="0" borderId="24" xfId="0" applyNumberFormat="1" applyFont="1" applyFill="1" applyBorder="1" applyAlignment="1">
      <alignment horizontal="center" vertical="center" wrapText="1" shrinkToFit="1"/>
    </xf>
    <xf numFmtId="0" fontId="5" fillId="0" borderId="30" xfId="0" applyFont="1" applyFill="1" applyBorder="1" applyAlignment="1">
      <alignment horizontal="left" vertical="center" wrapText="1" shrinkToFit="1"/>
    </xf>
    <xf numFmtId="4" fontId="5" fillId="0" borderId="11" xfId="0" applyNumberFormat="1" applyFont="1" applyFill="1" applyBorder="1" applyAlignment="1">
      <alignment horizontal="center" vertical="center"/>
    </xf>
    <xf numFmtId="184" fontId="5" fillId="0" borderId="11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31" xfId="0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 shrinkToFit="1"/>
    </xf>
    <xf numFmtId="185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 horizontal="left" vertical="center" wrapText="1" shrinkToFit="1"/>
    </xf>
    <xf numFmtId="184" fontId="5" fillId="0" borderId="11" xfId="0" applyNumberFormat="1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 shrinkToFit="1"/>
    </xf>
    <xf numFmtId="2" fontId="5" fillId="0" borderId="11" xfId="0" applyNumberFormat="1" applyFont="1" applyFill="1" applyBorder="1" applyAlignment="1">
      <alignment horizontal="center" vertical="center" wrapText="1" shrinkToFit="1"/>
    </xf>
    <xf numFmtId="183" fontId="5" fillId="0" borderId="32" xfId="0" applyNumberFormat="1" applyFont="1" applyFill="1" applyBorder="1" applyAlignment="1">
      <alignment horizontal="left" vertical="center" wrapText="1" shrinkToFit="1"/>
    </xf>
    <xf numFmtId="183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183" fontId="5" fillId="0" borderId="11" xfId="0" applyNumberFormat="1" applyFont="1" applyFill="1" applyBorder="1" applyAlignment="1">
      <alignment horizontal="left" vertical="center" wrapText="1" shrinkToFit="1"/>
    </xf>
    <xf numFmtId="183" fontId="5" fillId="0" borderId="33" xfId="0" applyNumberFormat="1" applyFont="1" applyFill="1" applyBorder="1" applyAlignment="1">
      <alignment horizontal="left" vertical="center" wrapText="1" shrinkToFit="1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0" fillId="0" borderId="34" xfId="0" applyBorder="1" applyAlignment="1">
      <alignment horizontal="center"/>
    </xf>
    <xf numFmtId="0" fontId="5" fillId="0" borderId="10" xfId="0" applyFont="1" applyFill="1" applyBorder="1" applyAlignment="1">
      <alignment vertical="center" wrapText="1" shrinkToFit="1"/>
    </xf>
    <xf numFmtId="2" fontId="5" fillId="0" borderId="10" xfId="0" applyNumberFormat="1" applyFont="1" applyFill="1" applyBorder="1" applyAlignment="1">
      <alignment horizontal="center" vertical="center" wrapText="1" shrinkToFit="1"/>
    </xf>
    <xf numFmtId="184" fontId="5" fillId="0" borderId="11" xfId="0" applyNumberFormat="1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vertical="center" wrapText="1"/>
    </xf>
    <xf numFmtId="0" fontId="0" fillId="0" borderId="35" xfId="0" applyBorder="1" applyAlignment="1">
      <alignment/>
    </xf>
    <xf numFmtId="0" fontId="5" fillId="0" borderId="36" xfId="0" applyFont="1" applyFill="1" applyBorder="1" applyAlignment="1">
      <alignment vertical="center" wrapText="1" shrinkToFit="1"/>
    </xf>
    <xf numFmtId="185" fontId="5" fillId="0" borderId="36" xfId="0" applyNumberFormat="1" applyFont="1" applyFill="1" applyBorder="1" applyAlignment="1">
      <alignment horizontal="center" vertical="center" wrapText="1" shrinkToFit="1"/>
    </xf>
    <xf numFmtId="183" fontId="5" fillId="0" borderId="37" xfId="0" applyNumberFormat="1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right" vertical="center" wrapText="1" shrinkToFit="1"/>
    </xf>
    <xf numFmtId="2" fontId="5" fillId="0" borderId="0" xfId="0" applyNumberFormat="1" applyFont="1" applyFill="1" applyBorder="1" applyAlignment="1">
      <alignment horizontal="center" vertical="center" wrapText="1" shrinkToFit="1"/>
    </xf>
    <xf numFmtId="183" fontId="5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horizontal="center" wrapText="1" shrinkToFit="1"/>
    </xf>
    <xf numFmtId="0" fontId="15" fillId="0" borderId="35" xfId="0" applyFont="1" applyBorder="1" applyAlignment="1">
      <alignment horizontal="center"/>
    </xf>
    <xf numFmtId="0" fontId="4" fillId="0" borderId="36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/>
    </xf>
    <xf numFmtId="0" fontId="5" fillId="0" borderId="24" xfId="0" applyFont="1" applyBorder="1" applyAlignment="1">
      <alignment horizontal="left" vertical="center" wrapText="1" shrinkToFit="1"/>
    </xf>
    <xf numFmtId="0" fontId="5" fillId="0" borderId="31" xfId="0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 shrinkToFit="1"/>
    </xf>
    <xf numFmtId="2" fontId="0" fillId="0" borderId="0" xfId="0" applyNumberFormat="1" applyFill="1" applyAlignment="1">
      <alignment/>
    </xf>
    <xf numFmtId="184" fontId="5" fillId="39" borderId="11" xfId="0" applyNumberFormat="1" applyFont="1" applyFill="1" applyBorder="1" applyAlignment="1">
      <alignment vertical="center" wrapText="1"/>
    </xf>
    <xf numFmtId="183" fontId="5" fillId="0" borderId="11" xfId="0" applyNumberFormat="1" applyFont="1" applyFill="1" applyBorder="1" applyAlignment="1">
      <alignment horizontal="center" vertical="center" wrapText="1" shrinkToFit="1"/>
    </xf>
    <xf numFmtId="183" fontId="0" fillId="0" borderId="0" xfId="0" applyNumberFormat="1" applyFill="1" applyAlignment="1">
      <alignment/>
    </xf>
    <xf numFmtId="0" fontId="5" fillId="0" borderId="11" xfId="0" applyFont="1" applyBorder="1" applyAlignment="1">
      <alignment vertical="center"/>
    </xf>
    <xf numFmtId="49" fontId="5" fillId="0" borderId="31" xfId="0" applyNumberFormat="1" applyFont="1" applyBorder="1" applyAlignment="1">
      <alignment horizontal="center"/>
    </xf>
    <xf numFmtId="0" fontId="5" fillId="0" borderId="32" xfId="0" applyFont="1" applyFill="1" applyBorder="1" applyAlignment="1">
      <alignment vertical="center" wrapText="1" shrinkToFit="1"/>
    </xf>
    <xf numFmtId="0" fontId="5" fillId="0" borderId="18" xfId="0" applyFont="1" applyFill="1" applyBorder="1" applyAlignment="1">
      <alignment vertical="center" wrapText="1" shrinkToFit="1"/>
    </xf>
    <xf numFmtId="183" fontId="5" fillId="0" borderId="11" xfId="0" applyNumberFormat="1" applyFont="1" applyFill="1" applyBorder="1" applyAlignment="1">
      <alignment vertical="center" wrapText="1" shrinkToFit="1"/>
    </xf>
    <xf numFmtId="183" fontId="5" fillId="0" borderId="32" xfId="0" applyNumberFormat="1" applyFont="1" applyFill="1" applyBorder="1" applyAlignment="1">
      <alignment vertical="center" wrapText="1" shrinkToFit="1"/>
    </xf>
    <xf numFmtId="0" fontId="0" fillId="0" borderId="38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 wrapText="1" shrinkToFit="1"/>
    </xf>
    <xf numFmtId="183" fontId="5" fillId="0" borderId="36" xfId="0" applyNumberFormat="1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0" xfId="0" applyFont="1" applyAlignment="1">
      <alignment/>
    </xf>
    <xf numFmtId="179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9" fontId="0" fillId="0" borderId="0" xfId="0" applyNumberFormat="1" applyFill="1" applyAlignment="1">
      <alignment/>
    </xf>
    <xf numFmtId="0" fontId="0" fillId="0" borderId="11" xfId="0" applyBorder="1" applyAlignment="1">
      <alignment horizontal="center"/>
    </xf>
    <xf numFmtId="183" fontId="5" fillId="40" borderId="11" xfId="0" applyNumberFormat="1" applyFont="1" applyFill="1" applyBorder="1" applyAlignment="1">
      <alignment horizontal="center" vertical="center" wrapText="1" shrinkToFit="1"/>
    </xf>
    <xf numFmtId="2" fontId="5" fillId="40" borderId="11" xfId="0" applyNumberFormat="1" applyFont="1" applyFill="1" applyBorder="1" applyAlignment="1">
      <alignment horizontal="center" vertical="center"/>
    </xf>
    <xf numFmtId="183" fontId="5" fillId="40" borderId="11" xfId="0" applyNumberFormat="1" applyFont="1" applyFill="1" applyBorder="1" applyAlignment="1">
      <alignment horizontal="center" vertical="center"/>
    </xf>
    <xf numFmtId="0" fontId="5" fillId="40" borderId="1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40" borderId="11" xfId="0" applyFill="1" applyBorder="1" applyAlignment="1">
      <alignment/>
    </xf>
    <xf numFmtId="0" fontId="16" fillId="40" borderId="11" xfId="0" applyFont="1" applyFill="1" applyBorder="1" applyAlignment="1">
      <alignment/>
    </xf>
    <xf numFmtId="0" fontId="0" fillId="40" borderId="0" xfId="0" applyFill="1" applyAlignment="1">
      <alignment/>
    </xf>
    <xf numFmtId="0" fontId="0" fillId="40" borderId="23" xfId="0" applyFill="1" applyBorder="1" applyAlignment="1">
      <alignment/>
    </xf>
    <xf numFmtId="0" fontId="16" fillId="40" borderId="23" xfId="0" applyFont="1" applyFill="1" applyBorder="1" applyAlignment="1">
      <alignment/>
    </xf>
    <xf numFmtId="0" fontId="0" fillId="40" borderId="39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2" fontId="0" fillId="0" borderId="11" xfId="0" applyNumberFormat="1" applyBorder="1" applyAlignment="1">
      <alignment/>
    </xf>
    <xf numFmtId="180" fontId="2" fillId="0" borderId="11" xfId="61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>
      <alignment horizontal="left" vertical="center" wrapText="1"/>
    </xf>
    <xf numFmtId="180" fontId="2" fillId="0" borderId="11" xfId="61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right" vertical="top" wrapText="1"/>
      <protection locked="0"/>
    </xf>
    <xf numFmtId="0" fontId="7" fillId="0" borderId="0" xfId="53" applyFont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5" fillId="0" borderId="12" xfId="53" applyFont="1" applyBorder="1" applyAlignment="1">
      <alignment horizontal="center" vertical="center" wrapText="1" shrinkToFit="1"/>
      <protection/>
    </xf>
    <xf numFmtId="0" fontId="5" fillId="0" borderId="13" xfId="53" applyFont="1" applyBorder="1" applyAlignment="1">
      <alignment horizontal="center" vertical="center" wrapText="1" shrinkToFit="1"/>
      <protection/>
    </xf>
    <xf numFmtId="0" fontId="5" fillId="0" borderId="14" xfId="53" applyFont="1" applyBorder="1" applyAlignment="1">
      <alignment horizontal="center" vertical="center" wrapText="1" shrinkToFit="1"/>
      <protection/>
    </xf>
    <xf numFmtId="0" fontId="5" fillId="0" borderId="15" xfId="53" applyFont="1" applyBorder="1" applyAlignment="1">
      <alignment horizontal="center" vertical="center" wrapText="1" shrinkToFit="1"/>
      <protection/>
    </xf>
    <xf numFmtId="0" fontId="5" fillId="0" borderId="16" xfId="53" applyFont="1" applyBorder="1" applyAlignment="1">
      <alignment horizontal="center" vertical="center" wrapText="1" shrinkToFit="1"/>
      <protection/>
    </xf>
    <xf numFmtId="0" fontId="5" fillId="0" borderId="17" xfId="53" applyFont="1" applyBorder="1" applyAlignment="1">
      <alignment horizontal="center" vertical="center" wrapText="1" shrinkToFit="1"/>
      <protection/>
    </xf>
    <xf numFmtId="0" fontId="5" fillId="0" borderId="12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0" fontId="5" fillId="0" borderId="15" xfId="53" applyFont="1" applyBorder="1" applyAlignment="1">
      <alignment horizontal="center"/>
      <protection/>
    </xf>
    <xf numFmtId="0" fontId="5" fillId="0" borderId="17" xfId="53" applyFont="1" applyBorder="1" applyAlignment="1">
      <alignment horizontal="center"/>
      <protection/>
    </xf>
    <xf numFmtId="16" fontId="5" fillId="0" borderId="11" xfId="53" applyNumberFormat="1" applyFont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2" fontId="5" fillId="35" borderId="11" xfId="53" applyNumberFormat="1" applyFont="1" applyFill="1" applyBorder="1" applyAlignment="1">
      <alignment horizontal="center"/>
      <protection/>
    </xf>
    <xf numFmtId="0" fontId="5" fillId="0" borderId="0" xfId="53" applyFont="1" applyBorder="1" applyAlignment="1">
      <alignment horizontal="left"/>
      <protection/>
    </xf>
    <xf numFmtId="2" fontId="5" fillId="0" borderId="11" xfId="53" applyNumberFormat="1" applyFont="1" applyBorder="1" applyAlignment="1">
      <alignment horizontal="center"/>
      <protection/>
    </xf>
    <xf numFmtId="0" fontId="5" fillId="0" borderId="0" xfId="53" applyFont="1" applyAlignment="1">
      <alignment horizontal="left" wrapText="1"/>
      <protection/>
    </xf>
    <xf numFmtId="0" fontId="5" fillId="0" borderId="0" xfId="53" applyFont="1" applyAlignment="1">
      <alignment horizontal="left"/>
      <protection/>
    </xf>
    <xf numFmtId="2" fontId="5" fillId="35" borderId="24" xfId="53" applyNumberFormat="1" applyFont="1" applyFill="1" applyBorder="1" applyAlignment="1">
      <alignment horizontal="center"/>
      <protection/>
    </xf>
    <xf numFmtId="0" fontId="7" fillId="0" borderId="0" xfId="53" applyFont="1" applyAlignment="1">
      <alignment horizontal="left" vertical="center"/>
      <protection/>
    </xf>
    <xf numFmtId="0" fontId="5" fillId="0" borderId="13" xfId="53" applyFont="1" applyBorder="1" applyAlignment="1">
      <alignment horizontal="center"/>
      <protection/>
    </xf>
    <xf numFmtId="0" fontId="5" fillId="0" borderId="16" xfId="53" applyFont="1" applyBorder="1" applyAlignment="1">
      <alignment horizontal="center"/>
      <protection/>
    </xf>
    <xf numFmtId="2" fontId="5" fillId="0" borderId="24" xfId="53" applyNumberFormat="1" applyFont="1" applyFill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183" fontId="5" fillId="0" borderId="12" xfId="53" applyNumberFormat="1" applyFont="1" applyBorder="1" applyAlignment="1">
      <alignment horizontal="center" vertical="center"/>
      <protection/>
    </xf>
    <xf numFmtId="183" fontId="5" fillId="0" borderId="13" xfId="53" applyNumberFormat="1" applyFont="1" applyBorder="1" applyAlignment="1">
      <alignment horizontal="center" vertical="center"/>
      <protection/>
    </xf>
    <xf numFmtId="183" fontId="5" fillId="0" borderId="14" xfId="53" applyNumberFormat="1" applyFont="1" applyBorder="1" applyAlignment="1">
      <alignment horizontal="center" vertical="center"/>
      <protection/>
    </xf>
    <xf numFmtId="183" fontId="5" fillId="0" borderId="21" xfId="53" applyNumberFormat="1" applyFont="1" applyBorder="1" applyAlignment="1">
      <alignment horizontal="center" vertical="center"/>
      <protection/>
    </xf>
    <xf numFmtId="183" fontId="5" fillId="0" borderId="0" xfId="53" applyNumberFormat="1" applyFont="1" applyBorder="1" applyAlignment="1">
      <alignment horizontal="center" vertical="center"/>
      <protection/>
    </xf>
    <xf numFmtId="183" fontId="5" fillId="0" borderId="22" xfId="53" applyNumberFormat="1" applyFont="1" applyBorder="1" applyAlignment="1">
      <alignment horizontal="center" vertical="center"/>
      <protection/>
    </xf>
    <xf numFmtId="183" fontId="5" fillId="0" borderId="15" xfId="53" applyNumberFormat="1" applyFont="1" applyBorder="1" applyAlignment="1">
      <alignment horizontal="center" vertical="center"/>
      <protection/>
    </xf>
    <xf numFmtId="183" fontId="5" fillId="0" borderId="16" xfId="53" applyNumberFormat="1" applyFont="1" applyBorder="1" applyAlignment="1">
      <alignment horizontal="center" vertical="center"/>
      <protection/>
    </xf>
    <xf numFmtId="183" fontId="5" fillId="0" borderId="17" xfId="53" applyNumberFormat="1" applyFont="1" applyBorder="1" applyAlignment="1">
      <alignment horizontal="center" vertical="center"/>
      <protection/>
    </xf>
    <xf numFmtId="0" fontId="5" fillId="0" borderId="18" xfId="53" applyFont="1" applyBorder="1" applyAlignment="1">
      <alignment horizontal="center"/>
      <protection/>
    </xf>
    <xf numFmtId="0" fontId="5" fillId="0" borderId="19" xfId="53" applyFont="1" applyBorder="1" applyAlignment="1">
      <alignment horizontal="center"/>
      <protection/>
    </xf>
    <xf numFmtId="0" fontId="5" fillId="0" borderId="20" xfId="53" applyFont="1" applyBorder="1" applyAlignment="1">
      <alignment horizontal="center"/>
      <protection/>
    </xf>
    <xf numFmtId="2" fontId="5" fillId="0" borderId="18" xfId="53" applyNumberFormat="1" applyFont="1" applyBorder="1" applyAlignment="1">
      <alignment horizontal="center" vertical="center"/>
      <protection/>
    </xf>
    <xf numFmtId="2" fontId="5" fillId="0" borderId="19" xfId="53" applyNumberFormat="1" applyFont="1" applyBorder="1" applyAlignment="1">
      <alignment horizontal="center" vertical="center"/>
      <protection/>
    </xf>
    <xf numFmtId="2" fontId="5" fillId="0" borderId="20" xfId="53" applyNumberFormat="1" applyFont="1" applyBorder="1" applyAlignment="1">
      <alignment horizontal="center" vertical="center"/>
      <protection/>
    </xf>
    <xf numFmtId="2" fontId="5" fillId="0" borderId="11" xfId="53" applyNumberFormat="1" applyFont="1" applyBorder="1" applyAlignment="1">
      <alignment horizontal="center" vertical="center"/>
      <protection/>
    </xf>
    <xf numFmtId="2" fontId="5" fillId="0" borderId="12" xfId="53" applyNumberFormat="1" applyFont="1" applyBorder="1" applyAlignment="1">
      <alignment horizontal="center" vertical="center"/>
      <protection/>
    </xf>
    <xf numFmtId="2" fontId="5" fillId="0" borderId="13" xfId="53" applyNumberFormat="1" applyFont="1" applyBorder="1" applyAlignment="1">
      <alignment horizontal="center" vertical="center"/>
      <protection/>
    </xf>
    <xf numFmtId="2" fontId="5" fillId="0" borderId="14" xfId="53" applyNumberFormat="1" applyFont="1" applyBorder="1" applyAlignment="1">
      <alignment horizontal="center" vertical="center"/>
      <protection/>
    </xf>
    <xf numFmtId="2" fontId="5" fillId="0" borderId="21" xfId="53" applyNumberFormat="1" applyFont="1" applyBorder="1" applyAlignment="1">
      <alignment horizontal="center" vertical="center"/>
      <protection/>
    </xf>
    <xf numFmtId="2" fontId="5" fillId="0" borderId="0" xfId="53" applyNumberFormat="1" applyFont="1" applyBorder="1" applyAlignment="1">
      <alignment horizontal="center" vertical="center"/>
      <protection/>
    </xf>
    <xf numFmtId="2" fontId="5" fillId="0" borderId="22" xfId="53" applyNumberFormat="1" applyFont="1" applyBorder="1" applyAlignment="1">
      <alignment horizontal="center" vertical="center"/>
      <protection/>
    </xf>
    <xf numFmtId="2" fontId="5" fillId="0" borderId="15" xfId="53" applyNumberFormat="1" applyFont="1" applyBorder="1" applyAlignment="1">
      <alignment horizontal="center" vertical="center"/>
      <protection/>
    </xf>
    <xf numFmtId="2" fontId="5" fillId="0" borderId="16" xfId="53" applyNumberFormat="1" applyFont="1" applyBorder="1" applyAlignment="1">
      <alignment horizontal="center" vertical="center"/>
      <protection/>
    </xf>
    <xf numFmtId="2" fontId="5" fillId="0" borderId="17" xfId="53" applyNumberFormat="1" applyFont="1" applyBorder="1" applyAlignment="1">
      <alignment horizontal="center" vertical="center"/>
      <protection/>
    </xf>
    <xf numFmtId="2" fontId="4" fillId="0" borderId="18" xfId="53" applyNumberFormat="1" applyFont="1" applyBorder="1" applyAlignment="1">
      <alignment horizontal="center"/>
      <protection/>
    </xf>
    <xf numFmtId="2" fontId="4" fillId="0" borderId="19" xfId="53" applyNumberFormat="1" applyFont="1" applyBorder="1" applyAlignment="1">
      <alignment horizontal="center"/>
      <protection/>
    </xf>
    <xf numFmtId="2" fontId="4" fillId="0" borderId="20" xfId="53" applyNumberFormat="1" applyFont="1" applyBorder="1" applyAlignment="1">
      <alignment horizontal="center"/>
      <protection/>
    </xf>
    <xf numFmtId="0" fontId="5" fillId="0" borderId="40" xfId="0" applyFont="1" applyFill="1" applyBorder="1" applyAlignment="1">
      <alignment horizontal="left" vertical="center" wrapText="1" shrinkToFit="1"/>
    </xf>
    <xf numFmtId="0" fontId="5" fillId="0" borderId="30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horizontal="left" wrapText="1" shrinkToFit="1"/>
    </xf>
    <xf numFmtId="0" fontId="4" fillId="0" borderId="11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vertical="center" wrapText="1" shrinkToFit="1"/>
    </xf>
    <xf numFmtId="0" fontId="4" fillId="0" borderId="42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wrapText="1" shrinkToFit="1"/>
    </xf>
    <xf numFmtId="0" fontId="4" fillId="0" borderId="43" xfId="0" applyFont="1" applyFill="1" applyBorder="1" applyAlignment="1">
      <alignment horizontal="center" vertical="center" wrapText="1" shrinkToFit="1"/>
    </xf>
    <xf numFmtId="0" fontId="4" fillId="0" borderId="44" xfId="0" applyFont="1" applyFill="1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energo\&#1058;&#1045;&#1055;&#1051;&#1054;\Popova\&#1047;&#1072;&#1082;&#1083;&#1102;&#1095;&#1077;&#1085;&#1080;&#1077;_&#1057;&#1077;&#1088;&#1074;&#1080;&#1089;_&#1091;&#1075;&#1086;&#1083;&#1100;&#1085;&#1072;&#1103;%20&#1082;&#1086;&#1090;&#1077;&#1083;&#1100;&#1085;&#1072;&#1103;_&#1085;&#1072;%202015-2018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energo\&#1058;&#1045;&#1055;&#1051;&#1054;\Popova\&#1047;&#1072;&#1082;&#1083;&#1102;&#1095;&#1077;&#1085;&#1080;&#1077;_%20&#1057;&#1077;&#1088;&#1074;&#1080;&#1089;_&#1084;&#1072;&#1079;&#1091;&#1090;&#1085;&#1072;&#1103;%20&#1082;&#1086;&#1090;&#1077;&#1083;&#1100;&#1085;&#1072;&#1103;_&#1085;&#1072;%202015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energo\&#1058;&#1045;&#1055;&#1051;&#1054;\Popova\&#1050;&#1072;&#1083;&#1100;&#1082;&#1091;&#1083;&#1103;&#1094;&#1080;&#1103;%20&#1090;&#1077;&#1087;&#1083;&#1086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"/>
      <sheetName val="ТЭ без операционных"/>
      <sheetName val="по"/>
      <sheetName val="численность"/>
      <sheetName val="ээ"/>
      <sheetName val="транспортные затраты"/>
      <sheetName val="Прирост экономии ОР"/>
      <sheetName val="Расчет экономии по топливу"/>
      <sheetName val="Расчет экономии по ЭР"/>
      <sheetName val="Эл. эн."/>
      <sheetName val="приложение 1"/>
      <sheetName val="спецодежда"/>
      <sheetName val="ТЭ с расшифровкой ОР"/>
    </sheetNames>
    <sheetDataSet>
      <sheetData sheetId="3">
        <row r="44">
          <cell r="G44">
            <v>0.5785867766342018</v>
          </cell>
        </row>
      </sheetData>
      <sheetData sheetId="11">
        <row r="47">
          <cell r="H47">
            <v>3.9622311565674297</v>
          </cell>
        </row>
      </sheetData>
      <sheetData sheetId="12">
        <row r="110">
          <cell r="I110">
            <v>2589.957135135137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"/>
      <sheetName val="ТЭ"/>
      <sheetName val="по"/>
      <sheetName val="численность"/>
      <sheetName val="спецодежда"/>
      <sheetName val="приложение 1"/>
      <sheetName val="ээ"/>
      <sheetName val="Прирост экономии ОР"/>
      <sheetName val="Расчет экономии по топливу"/>
      <sheetName val="Расчет экономии по ЭР"/>
      <sheetName val="Эл. эн."/>
    </sheetNames>
    <sheetDataSet>
      <sheetData sheetId="1">
        <row r="109">
          <cell r="I109">
            <v>3340.648673187793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в.пр."/>
      <sheetName val="вода"/>
      <sheetName val="расчет топливо "/>
      <sheetName val="транспорт"/>
      <sheetName val="Обучение персонала"/>
      <sheetName val="Отбор проб и выполнение анализо"/>
      <sheetName val="Электроэнер"/>
      <sheetName val="Проект ПДВ и нормативов образов"/>
      <sheetName val="штатное расписание "/>
      <sheetName val="штатн.АУП"/>
      <sheetName val="Ставки"/>
      <sheetName val="штатка"/>
      <sheetName val="Калькуляция"/>
    </sheetNames>
    <sheetDataSet>
      <sheetData sheetId="8">
        <row r="113">
          <cell r="L113">
            <v>55.47507264</v>
          </cell>
        </row>
        <row r="115">
          <cell r="L115">
            <v>102.73161599999997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25"/>
  <sheetViews>
    <sheetView tabSelected="1" zoomScale="80" zoomScaleNormal="80" zoomScalePageLayoutView="0" workbookViewId="0" topLeftCell="A1">
      <selection activeCell="H78" sqref="H78"/>
    </sheetView>
  </sheetViews>
  <sheetFormatPr defaultColWidth="0.85546875" defaultRowHeight="15"/>
  <cols>
    <col min="1" max="1" width="12.00390625" style="1" customWidth="1"/>
    <col min="2" max="2" width="51.421875" style="1" customWidth="1"/>
    <col min="3" max="3" width="12.8515625" style="1" customWidth="1"/>
    <col min="4" max="6" width="14.140625" style="1" customWidth="1"/>
    <col min="7" max="7" width="14.00390625" style="1" customWidth="1"/>
    <col min="8" max="8" width="35.7109375" style="2" customWidth="1"/>
    <col min="9" max="9" width="12.8515625" style="1" customWidth="1"/>
    <col min="10" max="10" width="35.7109375" style="2" customWidth="1"/>
    <col min="11" max="11" width="12.7109375" style="51" customWidth="1"/>
    <col min="12" max="16384" width="0.85546875" style="1" customWidth="1"/>
  </cols>
  <sheetData>
    <row r="3" spans="1:11" s="3" customFormat="1" ht="15" customHeight="1">
      <c r="A3" s="234" t="s">
        <v>181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1" s="4" customFormat="1" ht="15" customHeight="1">
      <c r="A4" s="234" t="s">
        <v>473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</row>
    <row r="5" spans="1:11" s="4" customFormat="1" ht="15" customHeight="1">
      <c r="A5" s="234" t="s">
        <v>471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</row>
    <row r="6" spans="8:11" s="5" customFormat="1" ht="17.25" customHeight="1">
      <c r="H6" s="6"/>
      <c r="J6" s="6"/>
      <c r="K6" s="48"/>
    </row>
    <row r="7" spans="1:11" ht="88.5" customHeight="1">
      <c r="A7" s="236" t="s">
        <v>0</v>
      </c>
      <c r="B7" s="238" t="s">
        <v>1</v>
      </c>
      <c r="C7" s="236" t="s">
        <v>2</v>
      </c>
      <c r="D7" s="240" t="s">
        <v>189</v>
      </c>
      <c r="E7" s="241"/>
      <c r="F7" s="7" t="s">
        <v>190</v>
      </c>
      <c r="G7" s="236" t="s">
        <v>191</v>
      </c>
      <c r="H7" s="236" t="s">
        <v>3</v>
      </c>
      <c r="I7" s="236" t="s">
        <v>192</v>
      </c>
      <c r="J7" s="236" t="s">
        <v>193</v>
      </c>
      <c r="K7" s="236" t="s">
        <v>4</v>
      </c>
    </row>
    <row r="8" spans="1:11" ht="13.5" customHeight="1">
      <c r="A8" s="237"/>
      <c r="B8" s="239"/>
      <c r="C8" s="237"/>
      <c r="D8" s="8" t="s">
        <v>5</v>
      </c>
      <c r="E8" s="8" t="s">
        <v>6</v>
      </c>
      <c r="F8" s="8" t="s">
        <v>5</v>
      </c>
      <c r="G8" s="237"/>
      <c r="H8" s="237"/>
      <c r="I8" s="237"/>
      <c r="J8" s="237"/>
      <c r="K8" s="237"/>
    </row>
    <row r="9" spans="1:11" ht="15">
      <c r="A9" s="9"/>
      <c r="B9" s="242" t="s">
        <v>7</v>
      </c>
      <c r="C9" s="243"/>
      <c r="D9" s="243"/>
      <c r="E9" s="243"/>
      <c r="F9" s="243"/>
      <c r="G9" s="243"/>
      <c r="H9" s="243"/>
      <c r="I9" s="243"/>
      <c r="J9" s="243"/>
      <c r="K9" s="243"/>
    </row>
    <row r="10" spans="1:11" s="15" customFormat="1" ht="15">
      <c r="A10" s="10" t="s">
        <v>8</v>
      </c>
      <c r="B10" s="11" t="s">
        <v>171</v>
      </c>
      <c r="C10" s="12" t="s">
        <v>9</v>
      </c>
      <c r="D10" s="13">
        <f>ROUND(D11,1)+ROUND(D12,1)+ROUND(D13,1)</f>
        <v>154279.2</v>
      </c>
      <c r="E10" s="13">
        <f>ROUND(E11,1)+ROUND(E12,1)+ROUND(E13,1)</f>
        <v>142439.7</v>
      </c>
      <c r="F10" s="13">
        <f>ROUND(F11,1)+ROUND(F12,1)+ROUND(F13,1)</f>
        <v>154279.2</v>
      </c>
      <c r="G10" s="13">
        <f>ROUND(G11,1)+ROUND(G12,1)+ROUND(G13,1)</f>
        <v>134886.1</v>
      </c>
      <c r="H10" s="14"/>
      <c r="I10" s="13">
        <f>ROUND(I11,1)+ROUND(I12,1)+ROUND(I13,1)</f>
        <v>143919.6</v>
      </c>
      <c r="J10" s="14" t="s">
        <v>17</v>
      </c>
      <c r="K10" s="52">
        <f>IF(F10&gt;0,I10/F10,"-")</f>
        <v>0.93285160929017</v>
      </c>
    </row>
    <row r="11" spans="1:11" ht="21.75" customHeight="1">
      <c r="A11" s="16" t="s">
        <v>137</v>
      </c>
      <c r="B11" s="17" t="s">
        <v>172</v>
      </c>
      <c r="C11" s="16" t="s">
        <v>9</v>
      </c>
      <c r="D11" s="20"/>
      <c r="E11" s="20"/>
      <c r="F11" s="20"/>
      <c r="G11" s="20"/>
      <c r="H11" s="14"/>
      <c r="I11" s="20"/>
      <c r="J11" s="14"/>
      <c r="K11" s="49" t="str">
        <f aca="true" t="shared" si="0" ref="K11:K21">IF(F11&gt;0,I11/F11,"-")</f>
        <v>-</v>
      </c>
    </row>
    <row r="12" spans="1:11" s="15" customFormat="1" ht="15" customHeight="1">
      <c r="A12" s="16" t="s">
        <v>70</v>
      </c>
      <c r="B12" s="17" t="s">
        <v>173</v>
      </c>
      <c r="C12" s="16" t="s">
        <v>9</v>
      </c>
      <c r="D12" s="47"/>
      <c r="E12" s="20"/>
      <c r="F12" s="20"/>
      <c r="G12" s="20"/>
      <c r="H12" s="14"/>
      <c r="I12" s="20"/>
      <c r="J12" s="14"/>
      <c r="K12" s="49" t="str">
        <f t="shared" si="0"/>
        <v>-</v>
      </c>
    </row>
    <row r="13" spans="1:11" s="15" customFormat="1" ht="28.5" customHeight="1">
      <c r="A13" s="10" t="s">
        <v>83</v>
      </c>
      <c r="B13" s="11" t="s">
        <v>174</v>
      </c>
      <c r="C13" s="12" t="s">
        <v>9</v>
      </c>
      <c r="D13" s="13">
        <f>ROUND(D14,1)+ROUND(D15,1)+ROUND(D16,1)</f>
        <v>154279.2</v>
      </c>
      <c r="E13" s="13">
        <f>ROUND(E14,1)+ROUND(E15,1)+ROUND(E16,1)</f>
        <v>142439.69999999998</v>
      </c>
      <c r="F13" s="13">
        <f>ROUND(F14,1)+ROUND(F15,1)+ROUND(F16,1)</f>
        <v>154279.2</v>
      </c>
      <c r="G13" s="13">
        <f>ROUND(G14,1)+ROUND(G15,1)+ROUND(G16,1)</f>
        <v>134886.1</v>
      </c>
      <c r="H13" s="14"/>
      <c r="I13" s="13">
        <f>ROUND(I14,1)+ROUND(I15,1)+ROUND(I16,1)</f>
        <v>143919.6</v>
      </c>
      <c r="J13" s="14" t="s">
        <v>17</v>
      </c>
      <c r="K13" s="52">
        <f t="shared" si="0"/>
        <v>0.93285160929017</v>
      </c>
    </row>
    <row r="14" spans="1:11" ht="15">
      <c r="A14" s="16" t="s">
        <v>84</v>
      </c>
      <c r="B14" s="21" t="s">
        <v>18</v>
      </c>
      <c r="C14" s="16" t="s">
        <v>9</v>
      </c>
      <c r="D14" s="20">
        <v>66068.3</v>
      </c>
      <c r="E14" s="20">
        <v>64270.1</v>
      </c>
      <c r="F14" s="20">
        <v>66068.3</v>
      </c>
      <c r="G14" s="20">
        <v>65001.8</v>
      </c>
      <c r="H14" s="14"/>
      <c r="I14" s="20">
        <v>65001.8</v>
      </c>
      <c r="J14" s="14" t="s">
        <v>448</v>
      </c>
      <c r="K14" s="49">
        <f t="shared" si="0"/>
        <v>0.9838576140145879</v>
      </c>
    </row>
    <row r="15" spans="1:11" ht="15">
      <c r="A15" s="16" t="s">
        <v>106</v>
      </c>
      <c r="B15" s="21" t="s">
        <v>19</v>
      </c>
      <c r="C15" s="16" t="s">
        <v>9</v>
      </c>
      <c r="D15" s="20">
        <v>48012.9</v>
      </c>
      <c r="E15" s="20">
        <v>41488.7</v>
      </c>
      <c r="F15" s="20">
        <v>48012.9</v>
      </c>
      <c r="G15" s="20">
        <v>42236.9</v>
      </c>
      <c r="H15" s="14"/>
      <c r="I15" s="20">
        <v>42236.9</v>
      </c>
      <c r="J15" s="14" t="s">
        <v>448</v>
      </c>
      <c r="K15" s="49">
        <f t="shared" si="0"/>
        <v>0.8796989975610722</v>
      </c>
    </row>
    <row r="16" spans="1:11" ht="30">
      <c r="A16" s="16" t="s">
        <v>175</v>
      </c>
      <c r="B16" s="21" t="s">
        <v>20</v>
      </c>
      <c r="C16" s="16" t="s">
        <v>9</v>
      </c>
      <c r="D16" s="20">
        <v>40198</v>
      </c>
      <c r="E16" s="20">
        <v>36680.9</v>
      </c>
      <c r="F16" s="20">
        <v>40198</v>
      </c>
      <c r="G16" s="20">
        <v>27647.4</v>
      </c>
      <c r="H16" s="14"/>
      <c r="I16" s="20">
        <v>36680.9</v>
      </c>
      <c r="J16" s="14" t="s">
        <v>449</v>
      </c>
      <c r="K16" s="49">
        <f t="shared" si="0"/>
        <v>0.9125055972933978</v>
      </c>
    </row>
    <row r="17" spans="1:11" ht="15">
      <c r="A17" s="16" t="s">
        <v>10</v>
      </c>
      <c r="B17" s="17" t="s">
        <v>176</v>
      </c>
      <c r="C17" s="16" t="s">
        <v>9</v>
      </c>
      <c r="D17" s="18"/>
      <c r="E17" s="20"/>
      <c r="F17" s="20"/>
      <c r="G17" s="20"/>
      <c r="H17" s="14"/>
      <c r="I17" s="20"/>
      <c r="J17" s="14"/>
      <c r="K17" s="49" t="str">
        <f t="shared" si="0"/>
        <v>-</v>
      </c>
    </row>
    <row r="18" spans="1:11" ht="15">
      <c r="A18" s="16" t="s">
        <v>11</v>
      </c>
      <c r="B18" s="19" t="s">
        <v>177</v>
      </c>
      <c r="C18" s="16" t="s">
        <v>9</v>
      </c>
      <c r="D18" s="18"/>
      <c r="E18" s="20"/>
      <c r="F18" s="20"/>
      <c r="G18" s="20"/>
      <c r="H18" s="14"/>
      <c r="I18" s="20"/>
      <c r="J18" s="14"/>
      <c r="K18" s="49" t="str">
        <f t="shared" si="0"/>
        <v>-</v>
      </c>
    </row>
    <row r="19" spans="1:11" ht="15">
      <c r="A19" s="16" t="s">
        <v>119</v>
      </c>
      <c r="B19" s="29" t="s">
        <v>178</v>
      </c>
      <c r="C19" s="16" t="s">
        <v>9</v>
      </c>
      <c r="D19" s="18"/>
      <c r="E19" s="20"/>
      <c r="F19" s="20"/>
      <c r="G19" s="20"/>
      <c r="H19" s="14"/>
      <c r="I19" s="20"/>
      <c r="J19" s="14"/>
      <c r="K19" s="49" t="str">
        <f t="shared" si="0"/>
        <v>-</v>
      </c>
    </row>
    <row r="20" spans="1:11" ht="15">
      <c r="A20" s="16" t="s">
        <v>121</v>
      </c>
      <c r="B20" s="29" t="s">
        <v>179</v>
      </c>
      <c r="C20" s="16" t="s">
        <v>9</v>
      </c>
      <c r="D20" s="20"/>
      <c r="E20" s="20"/>
      <c r="F20" s="20"/>
      <c r="G20" s="20"/>
      <c r="H20" s="14"/>
      <c r="I20" s="20"/>
      <c r="J20" s="14"/>
      <c r="K20" s="49" t="str">
        <f t="shared" si="0"/>
        <v>-</v>
      </c>
    </row>
    <row r="21" spans="1:11" ht="15">
      <c r="A21" s="10" t="s">
        <v>12</v>
      </c>
      <c r="B21" s="11" t="s">
        <v>180</v>
      </c>
      <c r="C21" s="10" t="s">
        <v>9</v>
      </c>
      <c r="D21" s="13">
        <f>ROUND(D10,1)-ROUND(D17,1)-ROUND(D19,1)</f>
        <v>154279.2</v>
      </c>
      <c r="E21" s="13">
        <f>ROUND(E10,1)-ROUND(E17,1)-ROUND(E19,1)</f>
        <v>142439.7</v>
      </c>
      <c r="F21" s="13">
        <f>ROUND(F10,1)-ROUND(F17,1)-ROUND(F19,1)</f>
        <v>154279.2</v>
      </c>
      <c r="G21" s="13">
        <f>ROUND(G10,1)-ROUND(G17,1)-ROUND(G19,1)</f>
        <v>134886.1</v>
      </c>
      <c r="H21" s="14"/>
      <c r="I21" s="13">
        <f>ROUND(I10,1)-ROUND(I17,1)-ROUND(I19,1)</f>
        <v>143919.6</v>
      </c>
      <c r="J21" s="14" t="s">
        <v>450</v>
      </c>
      <c r="K21" s="52">
        <f t="shared" si="0"/>
        <v>0.93285160929017</v>
      </c>
    </row>
    <row r="22" spans="1:11" ht="15">
      <c r="A22" s="25"/>
      <c r="B22" s="242" t="s">
        <v>21</v>
      </c>
      <c r="C22" s="243"/>
      <c r="D22" s="243"/>
      <c r="E22" s="243"/>
      <c r="F22" s="243"/>
      <c r="G22" s="243"/>
      <c r="H22" s="243"/>
      <c r="I22" s="243"/>
      <c r="J22" s="243"/>
      <c r="K22" s="243"/>
    </row>
    <row r="23" spans="1:11" ht="15">
      <c r="A23" s="25"/>
      <c r="B23" s="19" t="s">
        <v>22</v>
      </c>
      <c r="C23" s="25" t="s">
        <v>23</v>
      </c>
      <c r="D23" s="16"/>
      <c r="E23" s="16"/>
      <c r="F23" s="16"/>
      <c r="G23" s="16"/>
      <c r="H23" s="26"/>
      <c r="I23" s="16"/>
      <c r="J23" s="26"/>
      <c r="K23" s="17"/>
    </row>
    <row r="24" spans="1:11" s="15" customFormat="1" ht="15" customHeight="1">
      <c r="A24" s="10" t="s">
        <v>8</v>
      </c>
      <c r="B24" s="11" t="s">
        <v>25</v>
      </c>
      <c r="C24" s="12" t="s">
        <v>24</v>
      </c>
      <c r="D24" s="13">
        <f>ROUND(D25,1)+ROUND(D26,1)+ROUND(D45,1)+ROUND(D52,1)+ROUND(D61,1)+ROUND(D62,1)+ROUND(D63,1)</f>
        <v>10731.1</v>
      </c>
      <c r="E24" s="13">
        <f>ROUND(E25,1)+ROUND(E26,1)+ROUND(E45,1)+ROUND(E52,1)+ROUND(E61,1)+ROUND(E62,1)+ROUND(E63,1)</f>
        <v>11009.3</v>
      </c>
      <c r="F24" s="13">
        <f>ROUND(F25,1)+ROUND(F26,1)+ROUND(F45,1)+ROUND(F52,1)+ROUND(F61,1)+ROUND(F62,1)+ROUND(F63,1)</f>
        <v>10519.300000000001</v>
      </c>
      <c r="G24" s="13">
        <f>ROUND(G25,1)+ROUND(G26,1)+ROUND(G45,1)+ROUND(G52,1)+ROUND(G61,1)+ROUND(G62,1)+ROUND(G63,1)</f>
        <v>5161.5</v>
      </c>
      <c r="H24" s="14"/>
      <c r="I24" s="13">
        <f>ROUND(I25,1)+ROUND(I26,1)+ROUND(I45,1)+ROUND(I52,1)+ROUND(I61,1)+ROUND(I62,1)+ROUND(I63,1)</f>
        <v>3566.7</v>
      </c>
      <c r="J24" s="40" t="s">
        <v>17</v>
      </c>
      <c r="K24" s="52">
        <f aca="true" t="shared" si="1" ref="K24:K87">IF(F24&gt;0,I24/F24,"-")</f>
        <v>0.33906248514635</v>
      </c>
    </row>
    <row r="25" spans="1:11" ht="30">
      <c r="A25" s="10" t="s">
        <v>137</v>
      </c>
      <c r="B25" s="29" t="s">
        <v>26</v>
      </c>
      <c r="C25" s="9" t="s">
        <v>24</v>
      </c>
      <c r="D25" s="18">
        <v>0</v>
      </c>
      <c r="E25" s="18">
        <v>0</v>
      </c>
      <c r="F25" s="18">
        <v>0</v>
      </c>
      <c r="G25" s="18">
        <v>0</v>
      </c>
      <c r="H25" s="14"/>
      <c r="I25" s="18">
        <v>0</v>
      </c>
      <c r="J25" s="14"/>
      <c r="K25" s="49" t="str">
        <f t="shared" si="1"/>
        <v>-</v>
      </c>
    </row>
    <row r="26" spans="1:11" s="15" customFormat="1" ht="48" customHeight="1">
      <c r="A26" s="27" t="s">
        <v>70</v>
      </c>
      <c r="B26" s="21" t="s">
        <v>149</v>
      </c>
      <c r="C26" s="42" t="s">
        <v>24</v>
      </c>
      <c r="D26" s="46">
        <f>ROUND(D27,1)+ROUND(D30,1)+ROUND(D33,1)+ROUND(D36,1)+ROUND(D39,1)+ROUND(D42,1)</f>
        <v>3500.1</v>
      </c>
      <c r="E26" s="46">
        <f>ROUND(E27,1)+ROUND(E30,1)+ROUND(E33,1)+ROUND(E36,1)+ROUND(E39,1)+ROUND(E42,1)</f>
        <v>4035.6</v>
      </c>
      <c r="F26" s="46">
        <f>ROUND(F27,1)+ROUND(F30,1)+ROUND(F33,1)+ROUND(F36,1)+ROUND(F39,1)+ROUND(F42,1)</f>
        <v>3105.8</v>
      </c>
      <c r="G26" s="46">
        <f>ROUND(G27,1)+ROUND(G30,1)+ROUND(G33,1)+ROUND(G36,1)+ROUND(G39,1)+ROUND(G42,1)</f>
        <v>210.8</v>
      </c>
      <c r="H26" s="14"/>
      <c r="I26" s="46">
        <f>ROUND(I27,1)+ROUND(I30,1)+ROUND(I33,1)+ROUND(I36,1)+ROUND(I39,1)+ROUND(I42,1)</f>
        <v>210.8</v>
      </c>
      <c r="J26" s="14" t="s">
        <v>17</v>
      </c>
      <c r="K26" s="49">
        <f t="shared" si="1"/>
        <v>0.06787301178440337</v>
      </c>
    </row>
    <row r="27" spans="1:11" s="15" customFormat="1" ht="15">
      <c r="A27" s="16" t="s">
        <v>71</v>
      </c>
      <c r="B27" s="35" t="s">
        <v>72</v>
      </c>
      <c r="C27" s="16" t="s">
        <v>24</v>
      </c>
      <c r="D27" s="18">
        <v>3500.1</v>
      </c>
      <c r="E27" s="18">
        <v>4035.6</v>
      </c>
      <c r="F27" s="18">
        <v>3105.8</v>
      </c>
      <c r="G27" s="18">
        <v>210.79</v>
      </c>
      <c r="H27" s="14"/>
      <c r="I27" s="18">
        <v>210.8</v>
      </c>
      <c r="J27" s="14" t="s">
        <v>448</v>
      </c>
      <c r="K27" s="49">
        <f t="shared" si="1"/>
        <v>0.06787301178440337</v>
      </c>
    </row>
    <row r="28" spans="1:11" s="15" customFormat="1" ht="15">
      <c r="A28" s="16"/>
      <c r="B28" s="31" t="s">
        <v>73</v>
      </c>
      <c r="C28" s="16" t="s">
        <v>74</v>
      </c>
      <c r="D28" s="18">
        <v>1032150</v>
      </c>
      <c r="E28" s="18">
        <v>1253289</v>
      </c>
      <c r="F28" s="18">
        <v>1032150</v>
      </c>
      <c r="G28" s="18">
        <v>68076</v>
      </c>
      <c r="H28" s="14"/>
      <c r="I28" s="18">
        <v>68076</v>
      </c>
      <c r="J28" s="14" t="s">
        <v>448</v>
      </c>
      <c r="K28" s="49">
        <f t="shared" si="1"/>
        <v>0.06595552971951751</v>
      </c>
    </row>
    <row r="29" spans="1:11" s="15" customFormat="1" ht="33" customHeight="1">
      <c r="A29" s="16"/>
      <c r="B29" s="31" t="s">
        <v>75</v>
      </c>
      <c r="C29" s="16" t="s">
        <v>76</v>
      </c>
      <c r="D29" s="18">
        <v>3.391</v>
      </c>
      <c r="E29" s="18">
        <v>3.22</v>
      </c>
      <c r="F29" s="18">
        <v>3.009</v>
      </c>
      <c r="G29" s="18">
        <v>3.096</v>
      </c>
      <c r="H29" s="14"/>
      <c r="I29" s="18">
        <v>3.1</v>
      </c>
      <c r="J29" s="14" t="s">
        <v>448</v>
      </c>
      <c r="K29" s="49">
        <f t="shared" si="1"/>
        <v>1.030242605516783</v>
      </c>
    </row>
    <row r="30" spans="1:11" s="15" customFormat="1" ht="15">
      <c r="A30" s="16" t="s">
        <v>77</v>
      </c>
      <c r="B30" s="35" t="s">
        <v>78</v>
      </c>
      <c r="C30" s="16" t="s">
        <v>24</v>
      </c>
      <c r="D30" s="18"/>
      <c r="E30" s="18"/>
      <c r="F30" s="18"/>
      <c r="G30" s="18"/>
      <c r="H30" s="14"/>
      <c r="I30" s="18"/>
      <c r="J30" s="14"/>
      <c r="K30" s="49" t="str">
        <f t="shared" si="1"/>
        <v>-</v>
      </c>
    </row>
    <row r="31" spans="1:11" s="15" customFormat="1" ht="15">
      <c r="A31" s="16"/>
      <c r="B31" s="45" t="s">
        <v>79</v>
      </c>
      <c r="C31" s="16" t="s">
        <v>80</v>
      </c>
      <c r="D31" s="18"/>
      <c r="E31" s="18"/>
      <c r="F31" s="18"/>
      <c r="G31" s="18"/>
      <c r="H31" s="14"/>
      <c r="I31" s="18"/>
      <c r="J31" s="14"/>
      <c r="K31" s="49" t="str">
        <f t="shared" si="1"/>
        <v>-</v>
      </c>
    </row>
    <row r="32" spans="1:11" s="15" customFormat="1" ht="15" customHeight="1">
      <c r="A32" s="16"/>
      <c r="B32" s="45" t="s">
        <v>81</v>
      </c>
      <c r="C32" s="36" t="s">
        <v>82</v>
      </c>
      <c r="D32" s="18"/>
      <c r="E32" s="18"/>
      <c r="F32" s="18"/>
      <c r="G32" s="18"/>
      <c r="H32" s="14"/>
      <c r="I32" s="18"/>
      <c r="J32" s="14"/>
      <c r="K32" s="49" t="str">
        <f t="shared" si="1"/>
        <v>-</v>
      </c>
    </row>
    <row r="33" spans="1:11" s="15" customFormat="1" ht="15" customHeight="1">
      <c r="A33" s="16" t="s">
        <v>150</v>
      </c>
      <c r="B33" s="22" t="s">
        <v>85</v>
      </c>
      <c r="C33" s="16" t="s">
        <v>24</v>
      </c>
      <c r="D33" s="18"/>
      <c r="E33" s="18"/>
      <c r="F33" s="18"/>
      <c r="G33" s="18"/>
      <c r="H33" s="14"/>
      <c r="I33" s="18"/>
      <c r="J33" s="14"/>
      <c r="K33" s="49" t="str">
        <f t="shared" si="1"/>
        <v>-</v>
      </c>
    </row>
    <row r="34" spans="1:11" s="15" customFormat="1" ht="15" customHeight="1">
      <c r="A34" s="16"/>
      <c r="B34" s="31" t="s">
        <v>86</v>
      </c>
      <c r="C34" s="16" t="s">
        <v>87</v>
      </c>
      <c r="D34" s="18"/>
      <c r="E34" s="18"/>
      <c r="F34" s="18"/>
      <c r="G34" s="18"/>
      <c r="H34" s="14"/>
      <c r="I34" s="18"/>
      <c r="J34" s="14"/>
      <c r="K34" s="49" t="str">
        <f t="shared" si="1"/>
        <v>-</v>
      </c>
    </row>
    <row r="35" spans="1:11" s="15" customFormat="1" ht="15" customHeight="1">
      <c r="A35" s="16"/>
      <c r="B35" s="31" t="s">
        <v>88</v>
      </c>
      <c r="C35" s="16" t="s">
        <v>89</v>
      </c>
      <c r="D35" s="18"/>
      <c r="E35" s="18"/>
      <c r="F35" s="18"/>
      <c r="G35" s="18"/>
      <c r="H35" s="14"/>
      <c r="I35" s="18">
        <f>F35*1.04</f>
        <v>0</v>
      </c>
      <c r="J35" s="14"/>
      <c r="K35" s="49" t="str">
        <f t="shared" si="1"/>
        <v>-</v>
      </c>
    </row>
    <row r="36" spans="1:11" s="15" customFormat="1" ht="15" customHeight="1">
      <c r="A36" s="16" t="s">
        <v>151</v>
      </c>
      <c r="B36" s="22" t="s">
        <v>90</v>
      </c>
      <c r="C36" s="16" t="s">
        <v>24</v>
      </c>
      <c r="D36" s="18"/>
      <c r="E36" s="18"/>
      <c r="F36" s="18"/>
      <c r="G36" s="18"/>
      <c r="H36" s="14"/>
      <c r="I36" s="18"/>
      <c r="J36" s="14"/>
      <c r="K36" s="49" t="str">
        <f t="shared" si="1"/>
        <v>-</v>
      </c>
    </row>
    <row r="37" spans="1:11" s="15" customFormat="1" ht="15" customHeight="1">
      <c r="A37" s="16"/>
      <c r="B37" s="31" t="s">
        <v>91</v>
      </c>
      <c r="C37" s="16" t="s">
        <v>9</v>
      </c>
      <c r="D37" s="18"/>
      <c r="E37" s="18"/>
      <c r="F37" s="18"/>
      <c r="G37" s="18"/>
      <c r="H37" s="14"/>
      <c r="I37" s="18"/>
      <c r="J37" s="14"/>
      <c r="K37" s="49" t="str">
        <f t="shared" si="1"/>
        <v>-</v>
      </c>
    </row>
    <row r="38" spans="1:11" s="15" customFormat="1" ht="15" customHeight="1">
      <c r="A38" s="16"/>
      <c r="B38" s="31" t="s">
        <v>92</v>
      </c>
      <c r="C38" s="16" t="s">
        <v>93</v>
      </c>
      <c r="D38" s="18"/>
      <c r="E38" s="18"/>
      <c r="F38" s="18"/>
      <c r="G38" s="18"/>
      <c r="H38" s="14"/>
      <c r="I38" s="18">
        <f>F38*1.04</f>
        <v>0</v>
      </c>
      <c r="J38" s="14"/>
      <c r="K38" s="49" t="str">
        <f t="shared" si="1"/>
        <v>-</v>
      </c>
    </row>
    <row r="39" spans="1:11" s="15" customFormat="1" ht="15" customHeight="1">
      <c r="A39" s="16" t="s">
        <v>159</v>
      </c>
      <c r="B39" s="22" t="s">
        <v>94</v>
      </c>
      <c r="C39" s="16" t="s">
        <v>24</v>
      </c>
      <c r="D39" s="18"/>
      <c r="E39" s="18"/>
      <c r="F39" s="18"/>
      <c r="G39" s="18"/>
      <c r="H39" s="14"/>
      <c r="I39" s="18"/>
      <c r="J39" s="14"/>
      <c r="K39" s="49" t="str">
        <f t="shared" si="1"/>
        <v>-</v>
      </c>
    </row>
    <row r="40" spans="1:11" s="15" customFormat="1" ht="15" customHeight="1">
      <c r="A40" s="16"/>
      <c r="B40" s="31" t="s">
        <v>95</v>
      </c>
      <c r="C40" s="16" t="s">
        <v>9</v>
      </c>
      <c r="D40" s="18"/>
      <c r="E40" s="18"/>
      <c r="F40" s="18"/>
      <c r="G40" s="18"/>
      <c r="H40" s="14"/>
      <c r="I40" s="18"/>
      <c r="J40" s="14"/>
      <c r="K40" s="49" t="str">
        <f t="shared" si="1"/>
        <v>-</v>
      </c>
    </row>
    <row r="41" spans="1:11" s="15" customFormat="1" ht="15" customHeight="1">
      <c r="A41" s="16"/>
      <c r="B41" s="31" t="s">
        <v>96</v>
      </c>
      <c r="C41" s="16" t="s">
        <v>93</v>
      </c>
      <c r="D41" s="18"/>
      <c r="E41" s="18"/>
      <c r="F41" s="18"/>
      <c r="G41" s="18"/>
      <c r="H41" s="14"/>
      <c r="I41" s="18">
        <f>F41*1.04</f>
        <v>0</v>
      </c>
      <c r="J41" s="14"/>
      <c r="K41" s="49" t="str">
        <f t="shared" si="1"/>
        <v>-</v>
      </c>
    </row>
    <row r="42" spans="1:11" s="15" customFormat="1" ht="15" customHeight="1">
      <c r="A42" s="16" t="s">
        <v>160</v>
      </c>
      <c r="B42" s="22" t="s">
        <v>97</v>
      </c>
      <c r="C42" s="16" t="s">
        <v>24</v>
      </c>
      <c r="D42" s="18"/>
      <c r="E42" s="18"/>
      <c r="F42" s="18"/>
      <c r="G42" s="18"/>
      <c r="H42" s="14"/>
      <c r="I42" s="18"/>
      <c r="J42" s="14"/>
      <c r="K42" s="49" t="str">
        <f t="shared" si="1"/>
        <v>-</v>
      </c>
    </row>
    <row r="43" spans="1:11" s="15" customFormat="1" ht="15" customHeight="1">
      <c r="A43" s="16"/>
      <c r="B43" s="31" t="s">
        <v>98</v>
      </c>
      <c r="C43" s="16" t="s">
        <v>9</v>
      </c>
      <c r="D43" s="18"/>
      <c r="E43" s="18"/>
      <c r="F43" s="18"/>
      <c r="G43" s="18"/>
      <c r="H43" s="14"/>
      <c r="I43" s="18"/>
      <c r="J43" s="14"/>
      <c r="K43" s="49" t="str">
        <f t="shared" si="1"/>
        <v>-</v>
      </c>
    </row>
    <row r="44" spans="1:11" s="15" customFormat="1" ht="15" customHeight="1">
      <c r="A44" s="16"/>
      <c r="B44" s="31" t="s">
        <v>99</v>
      </c>
      <c r="C44" s="16" t="s">
        <v>93</v>
      </c>
      <c r="D44" s="18"/>
      <c r="E44" s="18"/>
      <c r="F44" s="18"/>
      <c r="G44" s="18"/>
      <c r="H44" s="14"/>
      <c r="I44" s="18">
        <f>F44*1.04</f>
        <v>0</v>
      </c>
      <c r="J44" s="14"/>
      <c r="K44" s="49" t="str">
        <f t="shared" si="1"/>
        <v>-</v>
      </c>
    </row>
    <row r="45" spans="1:11" s="15" customFormat="1" ht="78.75" customHeight="1">
      <c r="A45" s="10" t="s">
        <v>83</v>
      </c>
      <c r="B45" s="21" t="s">
        <v>187</v>
      </c>
      <c r="C45" s="16" t="s">
        <v>24</v>
      </c>
      <c r="D45" s="46">
        <f>ROUND(D46,1)+ROUND(D49,1)</f>
        <v>0</v>
      </c>
      <c r="E45" s="46">
        <f>ROUND(E46,1)+ROUND(E49,1)</f>
        <v>0</v>
      </c>
      <c r="F45" s="46">
        <f>ROUND(F46,1)+ROUND(F49,1)</f>
        <v>0</v>
      </c>
      <c r="G45" s="46">
        <f>ROUND(G46,1)+ROUND(G49,1)</f>
        <v>0</v>
      </c>
      <c r="H45" s="14"/>
      <c r="I45" s="46">
        <f>ROUND(I46,1)+ROUND(I49,1)</f>
        <v>0</v>
      </c>
      <c r="J45" s="14"/>
      <c r="K45" s="49" t="str">
        <f t="shared" si="1"/>
        <v>-</v>
      </c>
    </row>
    <row r="46" spans="1:11" s="15" customFormat="1" ht="15" customHeight="1">
      <c r="A46" s="16" t="s">
        <v>84</v>
      </c>
      <c r="B46" s="22" t="s">
        <v>100</v>
      </c>
      <c r="C46" s="16" t="s">
        <v>24</v>
      </c>
      <c r="D46" s="18"/>
      <c r="E46" s="18"/>
      <c r="F46" s="18"/>
      <c r="G46" s="18"/>
      <c r="H46" s="14"/>
      <c r="I46" s="18"/>
      <c r="J46" s="14"/>
      <c r="K46" s="49" t="str">
        <f t="shared" si="1"/>
        <v>-</v>
      </c>
    </row>
    <row r="47" spans="1:11" s="15" customFormat="1" ht="15" customHeight="1">
      <c r="A47" s="16"/>
      <c r="B47" s="31" t="s">
        <v>101</v>
      </c>
      <c r="C47" s="16" t="s">
        <v>9</v>
      </c>
      <c r="D47" s="18"/>
      <c r="E47" s="18"/>
      <c r="F47" s="18"/>
      <c r="G47" s="18"/>
      <c r="H47" s="14"/>
      <c r="I47" s="18"/>
      <c r="J47" s="14"/>
      <c r="K47" s="49" t="str">
        <f t="shared" si="1"/>
        <v>-</v>
      </c>
    </row>
    <row r="48" spans="1:11" s="15" customFormat="1" ht="15" customHeight="1">
      <c r="A48" s="16"/>
      <c r="B48" s="31" t="s">
        <v>102</v>
      </c>
      <c r="C48" s="16" t="s">
        <v>93</v>
      </c>
      <c r="D48" s="18"/>
      <c r="E48" s="18"/>
      <c r="F48" s="18"/>
      <c r="G48" s="18"/>
      <c r="H48" s="14"/>
      <c r="I48" s="18">
        <f>F48*1.04</f>
        <v>0</v>
      </c>
      <c r="J48" s="14"/>
      <c r="K48" s="49" t="str">
        <f t="shared" si="1"/>
        <v>-</v>
      </c>
    </row>
    <row r="49" spans="1:11" s="15" customFormat="1" ht="15" customHeight="1">
      <c r="A49" s="16" t="s">
        <v>106</v>
      </c>
      <c r="B49" s="22" t="s">
        <v>103</v>
      </c>
      <c r="C49" s="16" t="s">
        <v>24</v>
      </c>
      <c r="D49" s="18"/>
      <c r="E49" s="18"/>
      <c r="F49" s="18"/>
      <c r="G49" s="18"/>
      <c r="H49" s="14"/>
      <c r="I49" s="18"/>
      <c r="J49" s="14"/>
      <c r="K49" s="49" t="str">
        <f t="shared" si="1"/>
        <v>-</v>
      </c>
    </row>
    <row r="50" spans="1:11" s="15" customFormat="1" ht="15" customHeight="1">
      <c r="A50" s="16"/>
      <c r="B50" s="31" t="s">
        <v>104</v>
      </c>
      <c r="C50" s="16" t="s">
        <v>9</v>
      </c>
      <c r="D50" s="18"/>
      <c r="E50" s="18"/>
      <c r="F50" s="18"/>
      <c r="G50" s="18"/>
      <c r="H50" s="14"/>
      <c r="I50" s="18"/>
      <c r="J50" s="14"/>
      <c r="K50" s="49" t="str">
        <f t="shared" si="1"/>
        <v>-</v>
      </c>
    </row>
    <row r="51" spans="1:11" s="15" customFormat="1" ht="15" customHeight="1">
      <c r="A51" s="16"/>
      <c r="B51" s="31" t="s">
        <v>105</v>
      </c>
      <c r="C51" s="16" t="s">
        <v>93</v>
      </c>
      <c r="D51" s="18"/>
      <c r="E51" s="18"/>
      <c r="F51" s="18"/>
      <c r="G51" s="18"/>
      <c r="H51" s="14"/>
      <c r="I51" s="18">
        <f>F51*1.04</f>
        <v>0</v>
      </c>
      <c r="J51" s="14"/>
      <c r="K51" s="49" t="str">
        <f t="shared" si="1"/>
        <v>-</v>
      </c>
    </row>
    <row r="52" spans="1:11" s="15" customFormat="1" ht="45">
      <c r="A52" s="10" t="s">
        <v>138</v>
      </c>
      <c r="B52" s="23" t="s">
        <v>27</v>
      </c>
      <c r="C52" s="12" t="s">
        <v>24</v>
      </c>
      <c r="D52" s="13">
        <f>ROUND(D53,1)+ROUND(D56,1)+ROUND(D57,1)+ROUND(D60,1)</f>
        <v>6741.3</v>
      </c>
      <c r="E52" s="13">
        <f>ROUND(E53,1)+ROUND(E56,1)+ROUND(E57,1)+ROUND(E60,1)</f>
        <v>6880.900000000001</v>
      </c>
      <c r="F52" s="13">
        <f>ROUND(F53,1)+ROUND(F56,1)+ROUND(F57,1)+ROUND(F60,1)</f>
        <v>6920.8</v>
      </c>
      <c r="G52" s="13">
        <f>ROUND(G53,1)+ROUND(G56,1)+ROUND(G57,1)+ROUND(G60,1)</f>
        <v>3977.5</v>
      </c>
      <c r="H52" s="14"/>
      <c r="I52" s="13">
        <f>ROUND(I53,1)+ROUND(I56,1)+ROUND(I57,1)+ROUND(I60,1)</f>
        <v>2757.1000000000004</v>
      </c>
      <c r="J52" s="14" t="s">
        <v>17</v>
      </c>
      <c r="K52" s="52">
        <f t="shared" si="1"/>
        <v>0.39837880013871235</v>
      </c>
    </row>
    <row r="53" spans="1:11" ht="30">
      <c r="A53" s="10" t="s">
        <v>161</v>
      </c>
      <c r="B53" s="24" t="s">
        <v>28</v>
      </c>
      <c r="C53" s="9" t="s">
        <v>24</v>
      </c>
      <c r="D53" s="18">
        <v>4100.3</v>
      </c>
      <c r="E53" s="18">
        <v>4209.3</v>
      </c>
      <c r="F53" s="18">
        <v>4209.5</v>
      </c>
      <c r="G53" s="18">
        <v>2834.06</v>
      </c>
      <c r="H53" s="14"/>
      <c r="I53" s="18">
        <v>2018.8</v>
      </c>
      <c r="J53" s="14" t="s">
        <v>17</v>
      </c>
      <c r="K53" s="49">
        <f t="shared" si="1"/>
        <v>0.47958189808765883</v>
      </c>
    </row>
    <row r="54" spans="1:11" ht="255">
      <c r="A54" s="16"/>
      <c r="B54" s="30" t="s">
        <v>29</v>
      </c>
      <c r="C54" s="9" t="s">
        <v>30</v>
      </c>
      <c r="D54" s="18">
        <v>18052.5</v>
      </c>
      <c r="E54" s="18">
        <v>18559.5</v>
      </c>
      <c r="F54" s="18">
        <v>18533.3</v>
      </c>
      <c r="G54" s="18">
        <v>23617.17</v>
      </c>
      <c r="H54" s="14" t="s">
        <v>468</v>
      </c>
      <c r="I54" s="18">
        <v>18680.97</v>
      </c>
      <c r="J54" s="14" t="s">
        <v>451</v>
      </c>
      <c r="K54" s="49">
        <f>IF(F54&gt;0,I54/F54,"-")</f>
        <v>1.0079678200860074</v>
      </c>
    </row>
    <row r="55" spans="1:11" ht="44.25" customHeight="1">
      <c r="A55" s="16"/>
      <c r="B55" s="30" t="s">
        <v>31</v>
      </c>
      <c r="C55" s="9" t="s">
        <v>32</v>
      </c>
      <c r="D55" s="18">
        <v>18.9</v>
      </c>
      <c r="E55" s="18">
        <v>18.9</v>
      </c>
      <c r="F55" s="18">
        <v>18.9</v>
      </c>
      <c r="G55" s="18">
        <v>10</v>
      </c>
      <c r="H55" s="14"/>
      <c r="I55" s="18">
        <v>9.2</v>
      </c>
      <c r="J55" s="14" t="s">
        <v>452</v>
      </c>
      <c r="K55" s="49">
        <f t="shared" si="1"/>
        <v>0.48677248677248675</v>
      </c>
    </row>
    <row r="56" spans="1:11" ht="30">
      <c r="A56" s="10" t="s">
        <v>162</v>
      </c>
      <c r="B56" s="24" t="s">
        <v>33</v>
      </c>
      <c r="C56" s="9" t="s">
        <v>24</v>
      </c>
      <c r="D56" s="18">
        <v>1238.3</v>
      </c>
      <c r="E56" s="18">
        <v>1271.2</v>
      </c>
      <c r="F56" s="18">
        <v>1271.3</v>
      </c>
      <c r="G56" s="18">
        <v>855.9</v>
      </c>
      <c r="H56" s="14"/>
      <c r="I56" s="18">
        <f>I53*30.2%</f>
        <v>609.6776</v>
      </c>
      <c r="J56" s="14" t="s">
        <v>453</v>
      </c>
      <c r="K56" s="49">
        <f t="shared" si="1"/>
        <v>0.4795702037284669</v>
      </c>
    </row>
    <row r="57" spans="1:11" ht="15">
      <c r="A57" s="16" t="s">
        <v>163</v>
      </c>
      <c r="B57" s="22" t="s">
        <v>34</v>
      </c>
      <c r="C57" s="9" t="s">
        <v>24</v>
      </c>
      <c r="D57" s="18">
        <v>1077.3</v>
      </c>
      <c r="E57" s="18">
        <v>1075.6</v>
      </c>
      <c r="F57" s="18">
        <v>1106</v>
      </c>
      <c r="G57" s="18">
        <v>220.8</v>
      </c>
      <c r="H57" s="14"/>
      <c r="I57" s="18">
        <v>98.8</v>
      </c>
      <c r="J57" s="14" t="s">
        <v>17</v>
      </c>
      <c r="K57" s="49">
        <f t="shared" si="1"/>
        <v>0.08933092224231465</v>
      </c>
    </row>
    <row r="58" spans="1:11" ht="30">
      <c r="A58" s="16"/>
      <c r="B58" s="31" t="s">
        <v>35</v>
      </c>
      <c r="C58" s="9" t="s">
        <v>30</v>
      </c>
      <c r="D58" s="18">
        <v>23235.6</v>
      </c>
      <c r="E58" s="18"/>
      <c r="F58" s="18">
        <v>23854.3</v>
      </c>
      <c r="G58" s="18">
        <v>27456</v>
      </c>
      <c r="H58" s="14"/>
      <c r="I58" s="18">
        <v>27456</v>
      </c>
      <c r="J58" s="231" t="s">
        <v>454</v>
      </c>
      <c r="K58" s="49">
        <f t="shared" si="1"/>
        <v>1.1509874529958959</v>
      </c>
    </row>
    <row r="59" spans="1:11" ht="60">
      <c r="A59" s="16"/>
      <c r="B59" s="31" t="s">
        <v>36</v>
      </c>
      <c r="C59" s="9" t="s">
        <v>32</v>
      </c>
      <c r="D59" s="18">
        <v>5.2</v>
      </c>
      <c r="E59" s="18"/>
      <c r="F59" s="18">
        <v>5.2</v>
      </c>
      <c r="G59" s="18">
        <v>0.67</v>
      </c>
      <c r="H59" s="14"/>
      <c r="I59" s="18">
        <v>0.3</v>
      </c>
      <c r="J59" s="231" t="s">
        <v>455</v>
      </c>
      <c r="K59" s="49">
        <f t="shared" si="1"/>
        <v>0.05769230769230769</v>
      </c>
    </row>
    <row r="60" spans="1:11" ht="30">
      <c r="A60" s="16" t="s">
        <v>164</v>
      </c>
      <c r="B60" s="22" t="s">
        <v>37</v>
      </c>
      <c r="C60" s="9" t="s">
        <v>24</v>
      </c>
      <c r="D60" s="18">
        <v>325.4</v>
      </c>
      <c r="E60" s="18">
        <v>324.8</v>
      </c>
      <c r="F60" s="18">
        <v>334</v>
      </c>
      <c r="G60" s="18">
        <v>66.7</v>
      </c>
      <c r="H60" s="14"/>
      <c r="I60" s="18">
        <f>I57*30.2%</f>
        <v>29.8376</v>
      </c>
      <c r="J60" s="232" t="s">
        <v>453</v>
      </c>
      <c r="K60" s="49">
        <f t="shared" si="1"/>
        <v>0.08933413173652695</v>
      </c>
    </row>
    <row r="61" spans="1:11" s="15" customFormat="1" ht="45" customHeight="1">
      <c r="A61" s="10" t="s">
        <v>139</v>
      </c>
      <c r="B61" s="21" t="s">
        <v>38</v>
      </c>
      <c r="C61" s="16" t="s">
        <v>24</v>
      </c>
      <c r="D61" s="18">
        <v>0</v>
      </c>
      <c r="E61" s="18">
        <v>0</v>
      </c>
      <c r="F61" s="18">
        <v>0</v>
      </c>
      <c r="G61" s="18">
        <v>0</v>
      </c>
      <c r="H61" s="14"/>
      <c r="I61" s="18">
        <v>0</v>
      </c>
      <c r="J61" s="14"/>
      <c r="K61" s="49" t="str">
        <f t="shared" si="1"/>
        <v>-</v>
      </c>
    </row>
    <row r="62" spans="1:11" s="15" customFormat="1" ht="30.75" customHeight="1">
      <c r="A62" s="10" t="s">
        <v>140</v>
      </c>
      <c r="B62" s="21" t="s">
        <v>39</v>
      </c>
      <c r="C62" s="16" t="s">
        <v>24</v>
      </c>
      <c r="D62" s="18">
        <v>95.7</v>
      </c>
      <c r="E62" s="18">
        <v>47.3</v>
      </c>
      <c r="F62" s="18">
        <v>88.2</v>
      </c>
      <c r="G62" s="18">
        <v>29.22</v>
      </c>
      <c r="H62" s="14"/>
      <c r="I62" s="18"/>
      <c r="J62" s="14" t="s">
        <v>456</v>
      </c>
      <c r="K62" s="49">
        <f t="shared" si="1"/>
        <v>0</v>
      </c>
    </row>
    <row r="63" spans="1:11" s="15" customFormat="1" ht="15">
      <c r="A63" s="10" t="s">
        <v>141</v>
      </c>
      <c r="B63" s="21" t="s">
        <v>40</v>
      </c>
      <c r="C63" s="42" t="s">
        <v>24</v>
      </c>
      <c r="D63" s="46">
        <f>ROUND(D64,1)+ROUND(D65,1)+ROUND(D66,1)+ROUND(D67,1)+ROUND(D68,1)+ROUND(D69,1)+ROUND(D70,1)</f>
        <v>394</v>
      </c>
      <c r="E63" s="46">
        <f>ROUND(E64,1)+ROUND(E65,1)+ROUND(E66,1)+ROUND(E67,1)+ROUND(E68,1)+ROUND(E69,1)+ROUND(E70,1)</f>
        <v>45.5</v>
      </c>
      <c r="F63" s="46">
        <f>ROUND(F64,1)+ROUND(F65,1)+ROUND(F66,1)+ROUND(F67,1)+ROUND(F68,1)+ROUND(F69,1)+ROUND(F70,1)</f>
        <v>404.5</v>
      </c>
      <c r="G63" s="46">
        <f>ROUND(G64,1)+ROUND(G65,1)+ROUND(G66,1)+ROUND(G67,1)+ROUND(G68,1)+ROUND(G69,1)+ROUND(G70,1)</f>
        <v>944</v>
      </c>
      <c r="H63" s="14"/>
      <c r="I63" s="46">
        <f>ROUND(I64,1)+ROUND(I65,1)+ROUND(I66,1)+ROUND(I67,1)+ROUND(I68,1)+ROUND(I69,1)+ROUND(I70,1)</f>
        <v>598.8</v>
      </c>
      <c r="J63" s="14" t="s">
        <v>17</v>
      </c>
      <c r="K63" s="49">
        <f t="shared" si="1"/>
        <v>1.480346106304079</v>
      </c>
    </row>
    <row r="64" spans="1:11" s="15" customFormat="1" ht="33" customHeight="1">
      <c r="A64" s="16" t="s">
        <v>165</v>
      </c>
      <c r="B64" s="24" t="s">
        <v>185</v>
      </c>
      <c r="C64" s="9" t="s">
        <v>24</v>
      </c>
      <c r="D64" s="46"/>
      <c r="E64" s="46"/>
      <c r="F64" s="46"/>
      <c r="G64" s="46"/>
      <c r="H64" s="14"/>
      <c r="I64" s="46"/>
      <c r="J64" s="14"/>
      <c r="K64" s="49" t="str">
        <f t="shared" si="1"/>
        <v>-</v>
      </c>
    </row>
    <row r="65" spans="1:11" s="15" customFormat="1" ht="57.75" customHeight="1">
      <c r="A65" s="16" t="s">
        <v>166</v>
      </c>
      <c r="B65" s="24" t="s">
        <v>186</v>
      </c>
      <c r="C65" s="9" t="s">
        <v>24</v>
      </c>
      <c r="D65" s="46">
        <v>213.2</v>
      </c>
      <c r="E65" s="46"/>
      <c r="F65" s="46">
        <v>218.9</v>
      </c>
      <c r="G65" s="46">
        <v>224</v>
      </c>
      <c r="H65" s="14" t="s">
        <v>467</v>
      </c>
      <c r="I65" s="46">
        <v>224</v>
      </c>
      <c r="J65" s="14" t="s">
        <v>454</v>
      </c>
      <c r="K65" s="49">
        <f t="shared" si="1"/>
        <v>1.0232983097304704</v>
      </c>
    </row>
    <row r="66" spans="1:11" ht="15">
      <c r="A66" s="16" t="s">
        <v>167</v>
      </c>
      <c r="B66" s="24" t="s">
        <v>41</v>
      </c>
      <c r="C66" s="9" t="s">
        <v>24</v>
      </c>
      <c r="D66" s="18"/>
      <c r="E66" s="18"/>
      <c r="F66" s="18"/>
      <c r="G66" s="18"/>
      <c r="H66" s="14"/>
      <c r="I66" s="18"/>
      <c r="J66" s="14"/>
      <c r="K66" s="49" t="str">
        <f t="shared" si="1"/>
        <v>-</v>
      </c>
    </row>
    <row r="67" spans="1:11" ht="33" customHeight="1">
      <c r="A67" s="16" t="s">
        <v>168</v>
      </c>
      <c r="B67" s="24" t="s">
        <v>42</v>
      </c>
      <c r="C67" s="9" t="s">
        <v>24</v>
      </c>
      <c r="D67" s="18"/>
      <c r="E67" s="18"/>
      <c r="F67" s="18"/>
      <c r="G67" s="18"/>
      <c r="H67" s="14"/>
      <c r="I67" s="18"/>
      <c r="J67" s="14"/>
      <c r="K67" s="49" t="str">
        <f t="shared" si="1"/>
        <v>-</v>
      </c>
    </row>
    <row r="68" spans="1:11" ht="30">
      <c r="A68" s="16" t="s">
        <v>169</v>
      </c>
      <c r="B68" s="24" t="s">
        <v>43</v>
      </c>
      <c r="C68" s="9" t="s">
        <v>24</v>
      </c>
      <c r="D68" s="18"/>
      <c r="E68" s="18"/>
      <c r="F68" s="18"/>
      <c r="G68" s="18"/>
      <c r="H68" s="14"/>
      <c r="I68" s="18"/>
      <c r="J68" s="14"/>
      <c r="K68" s="49" t="str">
        <f t="shared" si="1"/>
        <v>-</v>
      </c>
    </row>
    <row r="69" spans="1:11" ht="105">
      <c r="A69" s="16" t="s">
        <v>170</v>
      </c>
      <c r="B69" s="24" t="s">
        <v>44</v>
      </c>
      <c r="C69" s="9" t="s">
        <v>24</v>
      </c>
      <c r="D69" s="18"/>
      <c r="E69" s="18"/>
      <c r="F69" s="18"/>
      <c r="G69" s="18">
        <v>641.98</v>
      </c>
      <c r="H69" s="14" t="s">
        <v>466</v>
      </c>
      <c r="I69" s="18">
        <v>309.9</v>
      </c>
      <c r="J69" s="14" t="s">
        <v>459</v>
      </c>
      <c r="K69" s="49" t="str">
        <f t="shared" si="1"/>
        <v>-</v>
      </c>
    </row>
    <row r="70" spans="1:11" ht="318.75" customHeight="1">
      <c r="A70" s="16" t="s">
        <v>169</v>
      </c>
      <c r="B70" s="24" t="s">
        <v>45</v>
      </c>
      <c r="C70" s="9" t="s">
        <v>24</v>
      </c>
      <c r="D70" s="18">
        <v>180.8</v>
      </c>
      <c r="E70" s="18">
        <v>45.5</v>
      </c>
      <c r="F70" s="18">
        <v>185.6</v>
      </c>
      <c r="G70" s="18">
        <v>78.04</v>
      </c>
      <c r="H70" s="14" t="s">
        <v>465</v>
      </c>
      <c r="I70" s="18">
        <v>64.9</v>
      </c>
      <c r="J70" s="14" t="s">
        <v>457</v>
      </c>
      <c r="K70" s="49">
        <f t="shared" si="1"/>
        <v>0.34967672413793105</v>
      </c>
    </row>
    <row r="71" spans="1:11" s="15" customFormat="1" ht="15" customHeight="1">
      <c r="A71" s="41" t="s">
        <v>10</v>
      </c>
      <c r="B71" s="11" t="s">
        <v>46</v>
      </c>
      <c r="C71" s="12" t="s">
        <v>24</v>
      </c>
      <c r="D71" s="13">
        <f>ROUND(D72,1)+ROUND(D73,1)+ROUND(D74,1)+ROUND(D77,1)</f>
        <v>1957.6</v>
      </c>
      <c r="E71" s="13">
        <f>ROUND(E72,1)+ROUND(E73,1)+ROUND(E74,1)+ROUND(E77,1)</f>
        <v>681.3</v>
      </c>
      <c r="F71" s="13">
        <f>ROUND(F72,1)+ROUND(F73,1)+ROUND(F74,1)+ROUND(F77,1)</f>
        <v>2009.8000000000002</v>
      </c>
      <c r="G71" s="13">
        <f>ROUND(G72,1)+ROUND(G73,1)+ROUND(G74,1)+ROUND(G77,1)</f>
        <v>1775.3</v>
      </c>
      <c r="H71" s="14"/>
      <c r="I71" s="13">
        <f>ROUND(I72,1)+ROUND(I73,1)+ROUND(I74,1)+ROUND(I77,1)</f>
        <v>203.7</v>
      </c>
      <c r="J71" s="14"/>
      <c r="K71" s="52">
        <f t="shared" si="1"/>
        <v>0.10135336849437754</v>
      </c>
    </row>
    <row r="72" spans="1:11" s="15" customFormat="1" ht="93.75" customHeight="1">
      <c r="A72" s="16" t="s">
        <v>145</v>
      </c>
      <c r="B72" s="21" t="s">
        <v>182</v>
      </c>
      <c r="C72" s="16" t="s">
        <v>24</v>
      </c>
      <c r="D72" s="18">
        <v>741.6</v>
      </c>
      <c r="E72" s="18">
        <v>681.3</v>
      </c>
      <c r="F72" s="18">
        <v>761.4</v>
      </c>
      <c r="G72" s="18">
        <v>482.46</v>
      </c>
      <c r="H72" s="14" t="s">
        <v>462</v>
      </c>
      <c r="I72" s="18">
        <v>203.7</v>
      </c>
      <c r="J72" s="14" t="s">
        <v>472</v>
      </c>
      <c r="K72" s="49">
        <f t="shared" si="1"/>
        <v>0.26753349093774625</v>
      </c>
    </row>
    <row r="73" spans="1:11" s="15" customFormat="1" ht="45">
      <c r="A73" s="16" t="s">
        <v>146</v>
      </c>
      <c r="B73" s="21" t="s">
        <v>183</v>
      </c>
      <c r="C73" s="16" t="s">
        <v>24</v>
      </c>
      <c r="D73" s="18">
        <v>1216</v>
      </c>
      <c r="E73" s="18"/>
      <c r="F73" s="18">
        <v>1248.4</v>
      </c>
      <c r="G73" s="18">
        <v>1292.8</v>
      </c>
      <c r="H73" s="14"/>
      <c r="I73" s="18">
        <v>0</v>
      </c>
      <c r="J73" s="14" t="s">
        <v>456</v>
      </c>
      <c r="K73" s="49">
        <f t="shared" si="1"/>
        <v>0</v>
      </c>
    </row>
    <row r="74" spans="1:11" s="15" customFormat="1" ht="28.5" customHeight="1">
      <c r="A74" s="16" t="s">
        <v>147</v>
      </c>
      <c r="B74" s="21" t="s">
        <v>47</v>
      </c>
      <c r="C74" s="16" t="s">
        <v>24</v>
      </c>
      <c r="D74" s="18"/>
      <c r="E74" s="18"/>
      <c r="F74" s="18"/>
      <c r="G74" s="18"/>
      <c r="H74" s="14"/>
      <c r="I74" s="18"/>
      <c r="J74" s="14"/>
      <c r="K74" s="49" t="str">
        <f t="shared" si="1"/>
        <v>-</v>
      </c>
    </row>
    <row r="75" spans="1:11" s="15" customFormat="1" ht="28.5" customHeight="1">
      <c r="A75" s="16"/>
      <c r="B75" s="22" t="s">
        <v>48</v>
      </c>
      <c r="C75" s="16"/>
      <c r="D75" s="18"/>
      <c r="E75" s="18"/>
      <c r="F75" s="18"/>
      <c r="G75" s="18"/>
      <c r="H75" s="14"/>
      <c r="I75" s="18"/>
      <c r="J75" s="14"/>
      <c r="K75" s="49" t="str">
        <f t="shared" si="1"/>
        <v>-</v>
      </c>
    </row>
    <row r="76" spans="1:11" s="15" customFormat="1" ht="28.5" customHeight="1">
      <c r="A76" s="16"/>
      <c r="B76" s="22" t="s">
        <v>49</v>
      </c>
      <c r="C76" s="16"/>
      <c r="D76" s="18"/>
      <c r="E76" s="18"/>
      <c r="F76" s="18"/>
      <c r="G76" s="18"/>
      <c r="H76" s="14"/>
      <c r="I76" s="18"/>
      <c r="J76" s="14"/>
      <c r="K76" s="49" t="str">
        <f t="shared" si="1"/>
        <v>-</v>
      </c>
    </row>
    <row r="77" spans="1:11" s="15" customFormat="1" ht="30">
      <c r="A77" s="16" t="s">
        <v>148</v>
      </c>
      <c r="B77" s="21" t="s">
        <v>50</v>
      </c>
      <c r="C77" s="16" t="s">
        <v>24</v>
      </c>
      <c r="D77" s="18"/>
      <c r="E77" s="18"/>
      <c r="F77" s="18"/>
      <c r="G77" s="18"/>
      <c r="H77" s="14"/>
      <c r="I77" s="18"/>
      <c r="J77" s="14"/>
      <c r="K77" s="49" t="str">
        <f t="shared" si="1"/>
        <v>-</v>
      </c>
    </row>
    <row r="78" spans="1:11" s="15" customFormat="1" ht="15" customHeight="1">
      <c r="A78" s="10" t="s">
        <v>11</v>
      </c>
      <c r="B78" s="17" t="s">
        <v>51</v>
      </c>
      <c r="C78" s="42" t="s">
        <v>24</v>
      </c>
      <c r="D78" s="46">
        <f>ROUND(D79,1)+ROUND(D82,1)+ROUND(D83,1)</f>
        <v>2766.2999999999997</v>
      </c>
      <c r="E78" s="46">
        <f>ROUND(E79,1)+ROUND(E82,1)+ROUND(E83,1)</f>
        <v>3343.8</v>
      </c>
      <c r="F78" s="46">
        <f>ROUND(F79,1)+ROUND(F82,1)+ROUND(F83,1)</f>
        <v>2850</v>
      </c>
      <c r="G78" s="46">
        <f>ROUND(G79,1)+ROUND(G82,1)+ROUND(G83,1)</f>
        <v>1561.2</v>
      </c>
      <c r="H78" s="14"/>
      <c r="I78" s="46">
        <f>ROUND(I79,1)+ROUND(I82,1)+ROUND(I83,1)</f>
        <v>965.9</v>
      </c>
      <c r="J78" s="14" t="s">
        <v>17</v>
      </c>
      <c r="K78" s="49">
        <f t="shared" si="1"/>
        <v>0.3389122807017544</v>
      </c>
    </row>
    <row r="79" spans="1:11" s="15" customFormat="1" ht="15">
      <c r="A79" s="10" t="s">
        <v>119</v>
      </c>
      <c r="B79" s="21" t="s">
        <v>52</v>
      </c>
      <c r="C79" s="16" t="s">
        <v>24</v>
      </c>
      <c r="D79" s="18">
        <v>1784.3</v>
      </c>
      <c r="E79" s="18">
        <v>2083.3</v>
      </c>
      <c r="F79" s="18">
        <v>1831.8</v>
      </c>
      <c r="G79" s="18">
        <v>831.84</v>
      </c>
      <c r="H79" s="14"/>
      <c r="I79" s="18">
        <v>634.608</v>
      </c>
      <c r="J79" s="14" t="s">
        <v>17</v>
      </c>
      <c r="K79" s="49">
        <f t="shared" si="1"/>
        <v>0.34643956763838846</v>
      </c>
    </row>
    <row r="80" spans="1:11" s="15" customFormat="1" ht="30">
      <c r="A80" s="16"/>
      <c r="B80" s="22" t="s">
        <v>53</v>
      </c>
      <c r="C80" s="9" t="s">
        <v>30</v>
      </c>
      <c r="D80" s="18">
        <v>31837.3</v>
      </c>
      <c r="E80" s="18">
        <v>36168.4</v>
      </c>
      <c r="F80" s="18">
        <v>32685.2</v>
      </c>
      <c r="G80" s="18">
        <v>34147.9</v>
      </c>
      <c r="H80" s="14"/>
      <c r="I80" s="18">
        <v>33052.5</v>
      </c>
      <c r="J80" s="231" t="s">
        <v>458</v>
      </c>
      <c r="K80" s="49">
        <f t="shared" si="1"/>
        <v>1.0112375019886677</v>
      </c>
    </row>
    <row r="81" spans="1:11" s="15" customFormat="1" ht="63.75" customHeight="1">
      <c r="A81" s="16"/>
      <c r="B81" s="22" t="s">
        <v>54</v>
      </c>
      <c r="C81" s="16" t="s">
        <v>32</v>
      </c>
      <c r="D81" s="18">
        <v>4.8</v>
      </c>
      <c r="E81" s="18">
        <v>4.8</v>
      </c>
      <c r="F81" s="18">
        <v>4.8</v>
      </c>
      <c r="G81" s="18">
        <v>2.03</v>
      </c>
      <c r="H81" s="14" t="s">
        <v>464</v>
      </c>
      <c r="I81" s="18">
        <v>1.6</v>
      </c>
      <c r="J81" s="231" t="s">
        <v>455</v>
      </c>
      <c r="K81" s="49">
        <f t="shared" si="1"/>
        <v>0.33333333333333337</v>
      </c>
    </row>
    <row r="82" spans="1:11" s="15" customFormat="1" ht="30">
      <c r="A82" s="10" t="s">
        <v>121</v>
      </c>
      <c r="B82" s="21" t="s">
        <v>55</v>
      </c>
      <c r="C82" s="16" t="s">
        <v>24</v>
      </c>
      <c r="D82" s="18">
        <v>538.9</v>
      </c>
      <c r="E82" s="18">
        <v>629.2</v>
      </c>
      <c r="F82" s="18">
        <v>553.2</v>
      </c>
      <c r="G82" s="18">
        <v>251.22</v>
      </c>
      <c r="H82" s="14"/>
      <c r="I82" s="18">
        <v>191.651</v>
      </c>
      <c r="J82" s="232" t="s">
        <v>453</v>
      </c>
      <c r="K82" s="49">
        <f t="shared" si="1"/>
        <v>0.346440708604483</v>
      </c>
    </row>
    <row r="83" spans="1:11" s="15" customFormat="1" ht="255">
      <c r="A83" s="10" t="s">
        <v>123</v>
      </c>
      <c r="B83" s="21" t="s">
        <v>188</v>
      </c>
      <c r="C83" s="16" t="s">
        <v>24</v>
      </c>
      <c r="D83" s="18">
        <v>443.1</v>
      </c>
      <c r="E83" s="18">
        <v>631.3</v>
      </c>
      <c r="F83" s="18">
        <v>465</v>
      </c>
      <c r="G83" s="18">
        <v>478.24</v>
      </c>
      <c r="H83" s="233" t="s">
        <v>463</v>
      </c>
      <c r="I83" s="18">
        <v>139.6</v>
      </c>
      <c r="J83" s="14" t="s">
        <v>459</v>
      </c>
      <c r="K83" s="49">
        <f t="shared" si="1"/>
        <v>0.3002150537634409</v>
      </c>
    </row>
    <row r="84" spans="1:11" s="15" customFormat="1" ht="30" hidden="1">
      <c r="A84" s="16" t="s">
        <v>8</v>
      </c>
      <c r="B84" s="32" t="s">
        <v>57</v>
      </c>
      <c r="C84" s="16" t="s">
        <v>24</v>
      </c>
      <c r="D84" s="18"/>
      <c r="E84" s="18"/>
      <c r="F84" s="18"/>
      <c r="G84" s="18"/>
      <c r="H84" s="14"/>
      <c r="I84" s="18"/>
      <c r="J84" s="14"/>
      <c r="K84" s="49" t="str">
        <f t="shared" si="1"/>
        <v>-</v>
      </c>
    </row>
    <row r="85" spans="1:11" s="15" customFormat="1" ht="15" hidden="1">
      <c r="A85" s="16"/>
      <c r="B85" s="33" t="s">
        <v>58</v>
      </c>
      <c r="C85" s="16" t="s">
        <v>24</v>
      </c>
      <c r="D85" s="18"/>
      <c r="E85" s="18"/>
      <c r="F85" s="18"/>
      <c r="G85" s="18"/>
      <c r="H85" s="14"/>
      <c r="I85" s="18"/>
      <c r="J85" s="14"/>
      <c r="K85" s="49" t="str">
        <f t="shared" si="1"/>
        <v>-</v>
      </c>
    </row>
    <row r="86" spans="1:11" s="15" customFormat="1" ht="15" hidden="1">
      <c r="A86" s="16"/>
      <c r="B86" s="33" t="s">
        <v>59</v>
      </c>
      <c r="C86" s="16" t="s">
        <v>24</v>
      </c>
      <c r="D86" s="18"/>
      <c r="E86" s="18"/>
      <c r="F86" s="18"/>
      <c r="G86" s="18"/>
      <c r="H86" s="14"/>
      <c r="I86" s="18"/>
      <c r="J86" s="14"/>
      <c r="K86" s="49" t="str">
        <f t="shared" si="1"/>
        <v>-</v>
      </c>
    </row>
    <row r="87" spans="1:11" s="15" customFormat="1" ht="15" hidden="1">
      <c r="A87" s="16"/>
      <c r="B87" s="33" t="s">
        <v>60</v>
      </c>
      <c r="C87" s="16" t="s">
        <v>24</v>
      </c>
      <c r="D87" s="18"/>
      <c r="E87" s="18"/>
      <c r="F87" s="18"/>
      <c r="G87" s="18"/>
      <c r="H87" s="14"/>
      <c r="I87" s="18"/>
      <c r="J87" s="14"/>
      <c r="K87" s="49" t="str">
        <f t="shared" si="1"/>
        <v>-</v>
      </c>
    </row>
    <row r="88" spans="1:11" s="15" customFormat="1" ht="15" hidden="1">
      <c r="A88" s="16"/>
      <c r="B88" s="33" t="s">
        <v>61</v>
      </c>
      <c r="C88" s="16" t="s">
        <v>24</v>
      </c>
      <c r="D88" s="18"/>
      <c r="E88" s="18"/>
      <c r="F88" s="18"/>
      <c r="G88" s="18"/>
      <c r="H88" s="14"/>
      <c r="I88" s="18"/>
      <c r="J88" s="14"/>
      <c r="K88" s="49" t="str">
        <f aca="true" t="shared" si="2" ref="K88:K120">IF(F88&gt;0,I88/F88,"-")</f>
        <v>-</v>
      </c>
    </row>
    <row r="89" spans="1:11" s="15" customFormat="1" ht="30" hidden="1">
      <c r="A89" s="16"/>
      <c r="B89" s="33" t="s">
        <v>62</v>
      </c>
      <c r="C89" s="16" t="s">
        <v>24</v>
      </c>
      <c r="D89" s="18"/>
      <c r="E89" s="18"/>
      <c r="F89" s="18"/>
      <c r="G89" s="18"/>
      <c r="H89" s="14"/>
      <c r="I89" s="18"/>
      <c r="J89" s="14"/>
      <c r="K89" s="49" t="str">
        <f t="shared" si="2"/>
        <v>-</v>
      </c>
    </row>
    <row r="90" spans="1:11" s="15" customFormat="1" ht="15" hidden="1">
      <c r="A90" s="16"/>
      <c r="B90" s="33" t="s">
        <v>63</v>
      </c>
      <c r="C90" s="16" t="s">
        <v>24</v>
      </c>
      <c r="D90" s="18"/>
      <c r="E90" s="18"/>
      <c r="F90" s="18"/>
      <c r="G90" s="18"/>
      <c r="H90" s="14"/>
      <c r="I90" s="18"/>
      <c r="J90" s="14"/>
      <c r="K90" s="49" t="str">
        <f t="shared" si="2"/>
        <v>-</v>
      </c>
    </row>
    <row r="91" spans="1:11" s="15" customFormat="1" ht="60" hidden="1">
      <c r="A91" s="16" t="s">
        <v>10</v>
      </c>
      <c r="B91" s="32" t="s">
        <v>64</v>
      </c>
      <c r="C91" s="16" t="s">
        <v>24</v>
      </c>
      <c r="D91" s="18"/>
      <c r="E91" s="18"/>
      <c r="F91" s="18"/>
      <c r="G91" s="18"/>
      <c r="H91" s="14"/>
      <c r="I91" s="18"/>
      <c r="J91" s="14"/>
      <c r="K91" s="49" t="str">
        <f t="shared" si="2"/>
        <v>-</v>
      </c>
    </row>
    <row r="92" spans="1:11" s="15" customFormat="1" ht="15" hidden="1">
      <c r="A92" s="16" t="s">
        <v>11</v>
      </c>
      <c r="B92" s="33" t="s">
        <v>65</v>
      </c>
      <c r="C92" s="16" t="s">
        <v>24</v>
      </c>
      <c r="D92" s="18"/>
      <c r="E92" s="18"/>
      <c r="F92" s="18"/>
      <c r="G92" s="18"/>
      <c r="H92" s="14"/>
      <c r="I92" s="18"/>
      <c r="J92" s="14"/>
      <c r="K92" s="49" t="str">
        <f t="shared" si="2"/>
        <v>-</v>
      </c>
    </row>
    <row r="93" spans="1:11" s="15" customFormat="1" ht="15" hidden="1">
      <c r="A93" s="16" t="s">
        <v>12</v>
      </c>
      <c r="B93" s="33" t="s">
        <v>66</v>
      </c>
      <c r="C93" s="16" t="s">
        <v>24</v>
      </c>
      <c r="D93" s="18"/>
      <c r="E93" s="18"/>
      <c r="F93" s="18"/>
      <c r="G93" s="18"/>
      <c r="H93" s="14"/>
      <c r="I93" s="18"/>
      <c r="J93" s="14"/>
      <c r="K93" s="49" t="str">
        <f t="shared" si="2"/>
        <v>-</v>
      </c>
    </row>
    <row r="94" spans="1:11" s="15" customFormat="1" ht="45" hidden="1">
      <c r="A94" s="16" t="s">
        <v>13</v>
      </c>
      <c r="B94" s="32" t="s">
        <v>67</v>
      </c>
      <c r="C94" s="16" t="s">
        <v>24</v>
      </c>
      <c r="D94" s="18"/>
      <c r="E94" s="18"/>
      <c r="F94" s="18"/>
      <c r="G94" s="18"/>
      <c r="H94" s="14"/>
      <c r="I94" s="18"/>
      <c r="J94" s="14"/>
      <c r="K94" s="49" t="str">
        <f t="shared" si="2"/>
        <v>-</v>
      </c>
    </row>
    <row r="95" spans="1:11" s="15" customFormat="1" ht="15" hidden="1">
      <c r="A95" s="16" t="s">
        <v>14</v>
      </c>
      <c r="B95" s="32" t="s">
        <v>56</v>
      </c>
      <c r="C95" s="16" t="s">
        <v>24</v>
      </c>
      <c r="D95" s="18"/>
      <c r="E95" s="18"/>
      <c r="F95" s="18"/>
      <c r="G95" s="18"/>
      <c r="H95" s="14"/>
      <c r="I95" s="18"/>
      <c r="J95" s="14"/>
      <c r="K95" s="49" t="str">
        <f t="shared" si="2"/>
        <v>-</v>
      </c>
    </row>
    <row r="96" spans="1:11" ht="30" hidden="1">
      <c r="A96" s="16"/>
      <c r="B96" s="33" t="s">
        <v>68</v>
      </c>
      <c r="C96" s="9" t="s">
        <v>24</v>
      </c>
      <c r="D96" s="18"/>
      <c r="E96" s="18"/>
      <c r="F96" s="18"/>
      <c r="G96" s="18"/>
      <c r="H96" s="14"/>
      <c r="I96" s="18"/>
      <c r="J96" s="14"/>
      <c r="K96" s="49" t="str">
        <f t="shared" si="2"/>
        <v>-</v>
      </c>
    </row>
    <row r="97" spans="1:11" ht="75" hidden="1">
      <c r="A97" s="16"/>
      <c r="B97" s="33" t="s">
        <v>69</v>
      </c>
      <c r="C97" s="9" t="s">
        <v>24</v>
      </c>
      <c r="D97" s="18"/>
      <c r="E97" s="18"/>
      <c r="F97" s="18"/>
      <c r="G97" s="18"/>
      <c r="H97" s="14"/>
      <c r="I97" s="18"/>
      <c r="J97" s="14"/>
      <c r="K97" s="49" t="str">
        <f t="shared" si="2"/>
        <v>-</v>
      </c>
    </row>
    <row r="98" spans="1:11" s="15" customFormat="1" ht="46.5" customHeight="1">
      <c r="A98" s="41" t="s">
        <v>12</v>
      </c>
      <c r="B98" s="17" t="s">
        <v>116</v>
      </c>
      <c r="C98" s="16" t="s">
        <v>24</v>
      </c>
      <c r="D98" s="18">
        <v>0</v>
      </c>
      <c r="E98" s="18">
        <v>0</v>
      </c>
      <c r="F98" s="18">
        <v>0</v>
      </c>
      <c r="G98" s="18">
        <v>0</v>
      </c>
      <c r="H98" s="14"/>
      <c r="I98" s="18">
        <v>0</v>
      </c>
      <c r="J98" s="14"/>
      <c r="K98" s="49" t="str">
        <f t="shared" si="2"/>
        <v>-</v>
      </c>
    </row>
    <row r="99" spans="1:11" s="15" customFormat="1" ht="15">
      <c r="A99" s="41" t="s">
        <v>13</v>
      </c>
      <c r="B99" s="34" t="s">
        <v>117</v>
      </c>
      <c r="C99" s="16" t="s">
        <v>24</v>
      </c>
      <c r="D99" s="18">
        <v>0</v>
      </c>
      <c r="E99" s="18">
        <v>0</v>
      </c>
      <c r="F99" s="18">
        <v>0</v>
      </c>
      <c r="G99" s="18">
        <v>0</v>
      </c>
      <c r="H99" s="14"/>
      <c r="I99" s="18">
        <v>0</v>
      </c>
      <c r="J99" s="14"/>
      <c r="K99" s="49" t="str">
        <f t="shared" si="2"/>
        <v>-</v>
      </c>
    </row>
    <row r="100" spans="1:11" s="15" customFormat="1" ht="58.5" customHeight="1">
      <c r="A100" s="41" t="s">
        <v>14</v>
      </c>
      <c r="B100" s="17" t="s">
        <v>184</v>
      </c>
      <c r="C100" s="16" t="s">
        <v>24</v>
      </c>
      <c r="D100" s="18">
        <v>0</v>
      </c>
      <c r="E100" s="18">
        <v>0</v>
      </c>
      <c r="F100" s="18">
        <v>0</v>
      </c>
      <c r="G100" s="18">
        <v>0</v>
      </c>
      <c r="H100" s="14"/>
      <c r="I100" s="18">
        <v>0</v>
      </c>
      <c r="J100" s="14"/>
      <c r="K100" s="49" t="str">
        <f t="shared" si="2"/>
        <v>-</v>
      </c>
    </row>
    <row r="101" spans="1:11" s="15" customFormat="1" ht="28.5" customHeight="1">
      <c r="A101" s="41" t="s">
        <v>16</v>
      </c>
      <c r="B101" s="17" t="s">
        <v>107</v>
      </c>
      <c r="C101" s="42" t="s">
        <v>24</v>
      </c>
      <c r="D101" s="46">
        <f>ROUND(D102,1)+ROUND(D103,1)+ROUND(D104,1)+ROUND(D105,1)+ROUND(D106,1)+ROUND(D107,1)+ROUND(D108,1)</f>
        <v>0</v>
      </c>
      <c r="E101" s="46">
        <f>ROUND(E102,1)+ROUND(E103,1)+ROUND(E104,1)+ROUND(E105,1)+ROUND(E106,1)+ROUND(E107,1)+ROUND(E108,1)</f>
        <v>137.7</v>
      </c>
      <c r="F101" s="46">
        <f>ROUND(F102,1)+ROUND(F103,1)+ROUND(F104,1)+ROUND(F105,1)+ROUND(F106,1)+ROUND(F107,1)+ROUND(F108,1)</f>
        <v>0</v>
      </c>
      <c r="G101" s="46">
        <f>ROUND(G102,1)+ROUND(G103,1)+ROUND(G104,1)+ROUND(G105,1)+ROUND(G106,1)+ROUND(G107,1)+ROUND(G108,1)</f>
        <v>340</v>
      </c>
      <c r="H101" s="14"/>
      <c r="I101" s="46">
        <f>ROUND(I102,1)+ROUND(I103,1)+ROUND(I104,1)+ROUND(I105,1)+ROUND(I106,1)+ROUND(I107,1)+ROUND(I108,1)</f>
        <v>260</v>
      </c>
      <c r="J101" s="14" t="s">
        <v>17</v>
      </c>
      <c r="K101" s="49" t="str">
        <f t="shared" si="2"/>
        <v>-</v>
      </c>
    </row>
    <row r="102" spans="1:11" s="15" customFormat="1" ht="31.5" customHeight="1">
      <c r="A102" s="16"/>
      <c r="B102" s="21" t="s">
        <v>108</v>
      </c>
      <c r="C102" s="16" t="s">
        <v>24</v>
      </c>
      <c r="D102" s="18"/>
      <c r="E102" s="18">
        <v>137.7</v>
      </c>
      <c r="F102" s="18"/>
      <c r="G102" s="18">
        <v>340</v>
      </c>
      <c r="H102" s="14"/>
      <c r="I102" s="18">
        <v>260</v>
      </c>
      <c r="J102" s="14" t="s">
        <v>461</v>
      </c>
      <c r="K102" s="49" t="str">
        <f t="shared" si="2"/>
        <v>-</v>
      </c>
    </row>
    <row r="103" spans="1:11" s="15" customFormat="1" ht="15" customHeight="1">
      <c r="A103" s="16"/>
      <c r="B103" s="21" t="s">
        <v>109</v>
      </c>
      <c r="C103" s="16" t="s">
        <v>24</v>
      </c>
      <c r="D103" s="18"/>
      <c r="E103" s="18"/>
      <c r="F103" s="18"/>
      <c r="G103" s="18"/>
      <c r="H103" s="14"/>
      <c r="I103" s="18"/>
      <c r="J103" s="14"/>
      <c r="K103" s="49" t="str">
        <f t="shared" si="2"/>
        <v>-</v>
      </c>
    </row>
    <row r="104" spans="1:11" s="15" customFormat="1" ht="15" customHeight="1">
      <c r="A104" s="16"/>
      <c r="B104" s="21" t="s">
        <v>110</v>
      </c>
      <c r="C104" s="16" t="s">
        <v>24</v>
      </c>
      <c r="D104" s="18"/>
      <c r="E104" s="18"/>
      <c r="F104" s="18"/>
      <c r="G104" s="18"/>
      <c r="H104" s="14"/>
      <c r="I104" s="18"/>
      <c r="J104" s="14"/>
      <c r="K104" s="49" t="str">
        <f t="shared" si="2"/>
        <v>-</v>
      </c>
    </row>
    <row r="105" spans="1:11" s="15" customFormat="1" ht="15" customHeight="1">
      <c r="A105" s="16"/>
      <c r="B105" s="21" t="s">
        <v>111</v>
      </c>
      <c r="C105" s="16" t="s">
        <v>24</v>
      </c>
      <c r="D105" s="18"/>
      <c r="E105" s="18"/>
      <c r="F105" s="18"/>
      <c r="G105" s="18"/>
      <c r="H105" s="14"/>
      <c r="I105" s="18"/>
      <c r="J105" s="14"/>
      <c r="K105" s="49" t="str">
        <f t="shared" si="2"/>
        <v>-</v>
      </c>
    </row>
    <row r="106" spans="1:11" s="15" customFormat="1" ht="15" customHeight="1">
      <c r="A106" s="16"/>
      <c r="B106" s="21" t="s">
        <v>112</v>
      </c>
      <c r="C106" s="16" t="s">
        <v>24</v>
      </c>
      <c r="D106" s="18"/>
      <c r="E106" s="18"/>
      <c r="F106" s="18"/>
      <c r="G106" s="18"/>
      <c r="H106" s="14"/>
      <c r="I106" s="18"/>
      <c r="J106" s="14"/>
      <c r="K106" s="49" t="str">
        <f t="shared" si="2"/>
        <v>-</v>
      </c>
    </row>
    <row r="107" spans="1:11" s="15" customFormat="1" ht="30.75" customHeight="1">
      <c r="A107" s="16"/>
      <c r="B107" s="21" t="s">
        <v>113</v>
      </c>
      <c r="C107" s="16" t="s">
        <v>24</v>
      </c>
      <c r="D107" s="18"/>
      <c r="E107" s="18"/>
      <c r="F107" s="18"/>
      <c r="G107" s="18"/>
      <c r="H107" s="14"/>
      <c r="I107" s="18"/>
      <c r="J107" s="14"/>
      <c r="K107" s="49" t="str">
        <f t="shared" si="2"/>
        <v>-</v>
      </c>
    </row>
    <row r="108" spans="1:11" s="15" customFormat="1" ht="15" customHeight="1">
      <c r="A108" s="16"/>
      <c r="B108" s="21" t="s">
        <v>114</v>
      </c>
      <c r="C108" s="16" t="s">
        <v>24</v>
      </c>
      <c r="D108" s="18">
        <f>D109</f>
        <v>0</v>
      </c>
      <c r="E108" s="18">
        <f>E109</f>
        <v>0</v>
      </c>
      <c r="F108" s="18">
        <f>F109</f>
        <v>0</v>
      </c>
      <c r="G108" s="18">
        <f>G109</f>
        <v>0</v>
      </c>
      <c r="H108" s="14"/>
      <c r="I108" s="18">
        <f>I109</f>
        <v>0</v>
      </c>
      <c r="J108" s="14"/>
      <c r="K108" s="49" t="str">
        <f t="shared" si="2"/>
        <v>-</v>
      </c>
    </row>
    <row r="109" spans="1:11" s="15" customFormat="1" ht="48" customHeight="1">
      <c r="A109" s="16"/>
      <c r="B109" s="22" t="s">
        <v>115</v>
      </c>
      <c r="C109" s="16" t="s">
        <v>24</v>
      </c>
      <c r="D109" s="18"/>
      <c r="E109" s="18"/>
      <c r="F109" s="18"/>
      <c r="G109" s="18"/>
      <c r="H109" s="14"/>
      <c r="I109" s="18"/>
      <c r="J109" s="14"/>
      <c r="K109" s="49" t="str">
        <f t="shared" si="2"/>
        <v>-</v>
      </c>
    </row>
    <row r="110" spans="1:11" s="15" customFormat="1" ht="15" customHeight="1">
      <c r="A110" s="41" t="s">
        <v>135</v>
      </c>
      <c r="B110" s="34" t="s">
        <v>118</v>
      </c>
      <c r="C110" s="42" t="s">
        <v>24</v>
      </c>
      <c r="D110" s="46">
        <f>ROUND(D111,1)+ROUND(D112,1)+ROUND(D113,1)</f>
        <v>0</v>
      </c>
      <c r="E110" s="46">
        <f>ROUND(E111,1)+ROUND(E112,1)+ROUND(E113,1)</f>
        <v>400</v>
      </c>
      <c r="F110" s="46">
        <f>ROUND(F111,1)+ROUND(F112,1)+ROUND(F113,1)</f>
        <v>0</v>
      </c>
      <c r="G110" s="46">
        <f>ROUND(G111,1)+ROUND(G112,1)+ROUND(G113,1)</f>
        <v>1700</v>
      </c>
      <c r="H110" s="14"/>
      <c r="I110" s="46">
        <f>ROUND(I111,1)+ROUND(I112,1)+ROUND(I113,1)</f>
        <v>1300</v>
      </c>
      <c r="J110" s="14" t="s">
        <v>17</v>
      </c>
      <c r="K110" s="49" t="str">
        <f t="shared" si="2"/>
        <v>-</v>
      </c>
    </row>
    <row r="111" spans="1:11" ht="48" customHeight="1">
      <c r="A111" s="16" t="s">
        <v>142</v>
      </c>
      <c r="B111" s="29" t="s">
        <v>120</v>
      </c>
      <c r="C111" s="9" t="s">
        <v>24</v>
      </c>
      <c r="D111" s="18"/>
      <c r="E111" s="18">
        <v>400</v>
      </c>
      <c r="F111" s="18"/>
      <c r="G111" s="18">
        <v>1700</v>
      </c>
      <c r="H111" s="14" t="s">
        <v>469</v>
      </c>
      <c r="I111" s="18">
        <v>1300</v>
      </c>
      <c r="J111" s="14" t="s">
        <v>460</v>
      </c>
      <c r="K111" s="49" t="str">
        <f t="shared" si="2"/>
        <v>-</v>
      </c>
    </row>
    <row r="112" spans="1:11" ht="95.25" customHeight="1">
      <c r="A112" s="16" t="s">
        <v>143</v>
      </c>
      <c r="B112" s="29" t="s">
        <v>122</v>
      </c>
      <c r="C112" s="9" t="s">
        <v>24</v>
      </c>
      <c r="D112" s="18"/>
      <c r="E112" s="18"/>
      <c r="F112" s="18"/>
      <c r="G112" s="18"/>
      <c r="H112" s="14"/>
      <c r="I112" s="18"/>
      <c r="J112" s="14"/>
      <c r="K112" s="49" t="str">
        <f t="shared" si="2"/>
        <v>-</v>
      </c>
    </row>
    <row r="113" spans="1:11" ht="63" customHeight="1">
      <c r="A113" s="16" t="s">
        <v>144</v>
      </c>
      <c r="B113" s="29" t="s">
        <v>124</v>
      </c>
      <c r="C113" s="9" t="s">
        <v>24</v>
      </c>
      <c r="D113" s="18"/>
      <c r="E113" s="18"/>
      <c r="F113" s="18"/>
      <c r="G113" s="18"/>
      <c r="H113" s="14"/>
      <c r="I113" s="18"/>
      <c r="J113" s="14"/>
      <c r="K113" s="49" t="str">
        <f t="shared" si="2"/>
        <v>-</v>
      </c>
    </row>
    <row r="114" spans="1:11" s="15" customFormat="1" ht="30" customHeight="1">
      <c r="A114" s="41" t="s">
        <v>136</v>
      </c>
      <c r="B114" s="17" t="s">
        <v>125</v>
      </c>
      <c r="C114" s="16" t="s">
        <v>24</v>
      </c>
      <c r="D114" s="18">
        <v>0</v>
      </c>
      <c r="E114" s="18">
        <v>0</v>
      </c>
      <c r="F114" s="18">
        <v>0</v>
      </c>
      <c r="G114" s="18">
        <v>0</v>
      </c>
      <c r="H114" s="14"/>
      <c r="I114" s="18">
        <v>0</v>
      </c>
      <c r="J114" s="14"/>
      <c r="K114" s="49" t="str">
        <f t="shared" si="2"/>
        <v>-</v>
      </c>
    </row>
    <row r="115" spans="1:11" s="15" customFormat="1" ht="18.75" customHeight="1">
      <c r="A115" s="10" t="s">
        <v>152</v>
      </c>
      <c r="B115" s="17" t="s">
        <v>131</v>
      </c>
      <c r="C115" s="16" t="s">
        <v>24</v>
      </c>
      <c r="D115" s="46">
        <f>ROUND(D116,1)+ROUND(D117,1)+ROUND(D118,1)</f>
        <v>105.9</v>
      </c>
      <c r="E115" s="46">
        <f>ROUND(E116,1)+ROUND(E117,1)+ROUND(E118,1)</f>
        <v>0</v>
      </c>
      <c r="F115" s="46">
        <f>ROUND(F116,1)+ROUND(F117,1)+ROUND(F118,1)</f>
        <v>333.1</v>
      </c>
      <c r="G115" s="46">
        <f>ROUND(G116,1)+ROUND(G117,1)+ROUND(G118,1)</f>
        <v>0</v>
      </c>
      <c r="H115" s="14"/>
      <c r="I115" s="46">
        <f>ROUND(I116,1)+ROUND(I117,1)+ROUND(I118,1)</f>
        <v>0</v>
      </c>
      <c r="J115" s="14"/>
      <c r="K115" s="49">
        <f t="shared" si="2"/>
        <v>0</v>
      </c>
    </row>
    <row r="116" spans="1:11" s="15" customFormat="1" ht="60" customHeight="1">
      <c r="A116" s="10" t="s">
        <v>153</v>
      </c>
      <c r="B116" s="29" t="s">
        <v>132</v>
      </c>
      <c r="C116" s="16" t="s">
        <v>24</v>
      </c>
      <c r="D116" s="18">
        <v>105.9</v>
      </c>
      <c r="E116" s="18"/>
      <c r="F116" s="18">
        <v>333.1</v>
      </c>
      <c r="G116" s="18"/>
      <c r="H116" s="14"/>
      <c r="I116" s="18"/>
      <c r="J116" s="14"/>
      <c r="K116" s="49">
        <f t="shared" si="2"/>
        <v>0</v>
      </c>
    </row>
    <row r="117" spans="1:11" s="15" customFormat="1" ht="32.25" customHeight="1">
      <c r="A117" s="10" t="s">
        <v>154</v>
      </c>
      <c r="B117" s="29" t="s">
        <v>133</v>
      </c>
      <c r="C117" s="16" t="s">
        <v>24</v>
      </c>
      <c r="D117" s="18"/>
      <c r="E117" s="18"/>
      <c r="F117" s="18"/>
      <c r="G117" s="18"/>
      <c r="H117" s="14"/>
      <c r="I117" s="18"/>
      <c r="J117" s="14"/>
      <c r="K117" s="49" t="str">
        <f t="shared" si="2"/>
        <v>-</v>
      </c>
    </row>
    <row r="118" spans="1:11" s="15" customFormat="1" ht="48.75" customHeight="1">
      <c r="A118" s="10" t="s">
        <v>155</v>
      </c>
      <c r="B118" s="29" t="s">
        <v>134</v>
      </c>
      <c r="C118" s="16" t="s">
        <v>24</v>
      </c>
      <c r="D118" s="18"/>
      <c r="E118" s="18"/>
      <c r="F118" s="18"/>
      <c r="G118" s="18"/>
      <c r="H118" s="14"/>
      <c r="I118" s="18"/>
      <c r="J118" s="14"/>
      <c r="K118" s="49" t="str">
        <f t="shared" si="2"/>
        <v>-</v>
      </c>
    </row>
    <row r="119" spans="1:11" s="15" customFormat="1" ht="15" customHeight="1">
      <c r="A119" s="12" t="s">
        <v>156</v>
      </c>
      <c r="B119" s="43" t="str">
        <f>IF(C23="да","Необходимая валовая выручка (без учета НДС)","Необходимая валовая выручка (НДС не облагается)")</f>
        <v>Необходимая валовая выручка (НДС не облагается)</v>
      </c>
      <c r="C119" s="42" t="s">
        <v>24</v>
      </c>
      <c r="D119" s="46">
        <f>ROUND(D24,1)+ROUND(D71,1)+ROUND(D78,1)+ROUND(D98,1)+ROUND(D99,1)+ROUND(D100,1)+ROUND(D101,1)+ROUND(D110,1)+ROUND(D114,1)+ROUND(D115,1)</f>
        <v>15560.9</v>
      </c>
      <c r="E119" s="46">
        <f>ROUND(E24,1)+ROUND(E71,1)+ROUND(E78,1)+ROUND(E98,1)+ROUND(E99,1)+ROUND(E100,1)+ROUND(E101,1)+ROUND(E110,1)+ROUND(E114,1)+ROUND(E115,1)</f>
        <v>15572.099999999999</v>
      </c>
      <c r="F119" s="46">
        <f>ROUND(F24,1)+ROUND(F71,1)+ROUND(F78,1)+ROUND(F98,1)+ROUND(F99,1)+ROUND(F100,1)+ROUND(F101,1)+ROUND(F110,1)+ROUND(F114,1)+ROUND(F115,1)</f>
        <v>15712.199999999999</v>
      </c>
      <c r="G119" s="46">
        <f>ROUND(G24,1)+ROUND(G71,1)+ROUND(G78,1)+ROUND(G98,1)+ROUND(G99,1)+ROUND(G100,1)+ROUND(G101,1)+ROUND(G110,1)+ROUND(G114,1)+ROUND(G115,1)</f>
        <v>10538</v>
      </c>
      <c r="H119" s="14" t="s">
        <v>126</v>
      </c>
      <c r="I119" s="46">
        <f>ROUND(I24,1)+ROUND(I71,1)+ROUND(I78,1)+ROUND(I98,1)+ROUND(I99,1)+ROUND(I100,1)+ROUND(I101,1)+ROUND(I110,1)+ROUND(I114,1)+ROUND(I115,1)</f>
        <v>6296.299999999999</v>
      </c>
      <c r="J119" s="14" t="s">
        <v>126</v>
      </c>
      <c r="K119" s="49">
        <f t="shared" si="2"/>
        <v>0.4007268237420603</v>
      </c>
    </row>
    <row r="120" spans="1:11" s="15" customFormat="1" ht="45" customHeight="1">
      <c r="A120" s="12" t="s">
        <v>157</v>
      </c>
      <c r="B120" s="37" t="str">
        <f>IF(C23="да","Тариф (без учета НДС)","Тариф (НДС не облагается)")</f>
        <v>Тариф (НДС не облагается)</v>
      </c>
      <c r="C120" s="28" t="s">
        <v>93</v>
      </c>
      <c r="D120" s="38">
        <f>ROUND(D119,1)/ROUND(D10,1)*1000</f>
        <v>100.86194380059008</v>
      </c>
      <c r="E120" s="38">
        <f>ROUND(E119,1)/ROUND(E10,1)*1000</f>
        <v>109.32415611658827</v>
      </c>
      <c r="F120" s="38">
        <f>ROUND(F119,1)/ROUND(F10,1)*1000</f>
        <v>101.84263335563057</v>
      </c>
      <c r="G120" s="38">
        <f>ROUND(G119,1)/ROUND(G10,1)*1000</f>
        <v>78.12517375771114</v>
      </c>
      <c r="H120" s="14" t="s">
        <v>127</v>
      </c>
      <c r="I120" s="38">
        <f>ROUND(I119,1)/ROUND(I10,1)*1000</f>
        <v>43.748731930883636</v>
      </c>
      <c r="J120" s="14" t="s">
        <v>128</v>
      </c>
      <c r="K120" s="53">
        <f t="shared" si="2"/>
        <v>0.42957188447901523</v>
      </c>
    </row>
    <row r="121" spans="1:11" ht="15" customHeight="1">
      <c r="A121" s="42" t="s">
        <v>158</v>
      </c>
      <c r="B121" s="43" t="s">
        <v>129</v>
      </c>
      <c r="C121" s="42" t="s">
        <v>15</v>
      </c>
      <c r="D121" s="42"/>
      <c r="E121" s="42"/>
      <c r="F121" s="44">
        <f>F120/D120</f>
        <v>1.0097230879961958</v>
      </c>
      <c r="G121" s="42">
        <f>G120/F120</f>
        <v>0.7671165913876268</v>
      </c>
      <c r="H121" s="26"/>
      <c r="I121" s="44">
        <f>I120/F120</f>
        <v>0.42957188447901523</v>
      </c>
      <c r="J121" s="26"/>
      <c r="K121" s="17"/>
    </row>
    <row r="125" spans="1:11" ht="18.75">
      <c r="A125" s="39" t="s">
        <v>130</v>
      </c>
      <c r="B125" s="39"/>
      <c r="H125" s="244" t="s">
        <v>470</v>
      </c>
      <c r="I125" s="244"/>
      <c r="J125" s="1"/>
      <c r="K125" s="50"/>
    </row>
  </sheetData>
  <sheetProtection formatCells="0" formatColumns="0" formatRows="0" insertColumns="0" insertRows="0" insertHyperlinks="0" deleteColumns="0" deleteRows="0" autoFilter="0"/>
  <mergeCells count="15">
    <mergeCell ref="B22:K22"/>
    <mergeCell ref="H125:I125"/>
    <mergeCell ref="I7:I8"/>
    <mergeCell ref="J7:J8"/>
    <mergeCell ref="K7:K8"/>
    <mergeCell ref="B9:K9"/>
    <mergeCell ref="A3:K3"/>
    <mergeCell ref="A4:K4"/>
    <mergeCell ref="A5:K5"/>
    <mergeCell ref="A7:A8"/>
    <mergeCell ref="B7:B8"/>
    <mergeCell ref="C7:C8"/>
    <mergeCell ref="D7:E7"/>
    <mergeCell ref="G7:G8"/>
    <mergeCell ref="H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5"/>
  <sheetViews>
    <sheetView zoomScalePageLayoutView="0" workbookViewId="0" topLeftCell="A79">
      <selection activeCell="I30" sqref="I30"/>
    </sheetView>
  </sheetViews>
  <sheetFormatPr defaultColWidth="9.140625" defaultRowHeight="15"/>
  <cols>
    <col min="5" max="5" width="20.421875" style="0" customWidth="1"/>
    <col min="6" max="6" width="9.421875" style="0" customWidth="1"/>
    <col min="7" max="7" width="8.140625" style="0" customWidth="1"/>
    <col min="8" max="8" width="7.421875" style="0" customWidth="1"/>
    <col min="9" max="9" width="10.57421875" style="0" customWidth="1"/>
    <col min="10" max="10" width="11.7109375" style="0" customWidth="1"/>
  </cols>
  <sheetData>
    <row r="1" spans="1:10" ht="15">
      <c r="A1" s="54"/>
      <c r="B1" s="54"/>
      <c r="C1" s="54"/>
      <c r="D1" s="54"/>
      <c r="E1" s="54"/>
      <c r="F1" s="54"/>
      <c r="G1" s="54"/>
      <c r="H1" s="54"/>
      <c r="I1" s="54"/>
      <c r="J1" s="54"/>
    </row>
    <row r="2" spans="1:10" ht="15">
      <c r="A2" s="55"/>
      <c r="B2" s="245" t="s">
        <v>194</v>
      </c>
      <c r="C2" s="245"/>
      <c r="D2" s="245"/>
      <c r="E2" s="245"/>
      <c r="F2" s="245"/>
      <c r="G2" s="245"/>
      <c r="H2" s="245"/>
      <c r="I2" s="245"/>
      <c r="J2" s="56"/>
    </row>
    <row r="3" spans="1:10" ht="15">
      <c r="A3" s="246" t="s">
        <v>195</v>
      </c>
      <c r="B3" s="246"/>
      <c r="C3" s="246"/>
      <c r="D3" s="246"/>
      <c r="E3" s="246"/>
      <c r="F3" s="246"/>
      <c r="G3" s="246"/>
      <c r="H3" s="246"/>
      <c r="I3" s="246"/>
      <c r="J3" s="246"/>
    </row>
    <row r="4" spans="1:10" ht="1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5">
      <c r="A5" s="58" t="s">
        <v>196</v>
      </c>
      <c r="B5" s="58"/>
      <c r="C5" s="58"/>
      <c r="D5" s="58"/>
      <c r="E5" s="55"/>
      <c r="F5" s="55"/>
      <c r="G5" s="55"/>
      <c r="H5" s="55"/>
      <c r="I5" s="55"/>
      <c r="J5" s="55"/>
    </row>
    <row r="6" spans="1:10" ht="15">
      <c r="A6" s="55" t="s">
        <v>197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5">
      <c r="A7" s="247" t="s">
        <v>198</v>
      </c>
      <c r="B7" s="248"/>
      <c r="C7" s="248"/>
      <c r="D7" s="248"/>
      <c r="E7" s="249"/>
      <c r="F7" s="59" t="s">
        <v>199</v>
      </c>
      <c r="G7" s="60"/>
      <c r="H7" s="61"/>
      <c r="I7" s="253" t="s">
        <v>200</v>
      </c>
      <c r="J7" s="254"/>
    </row>
    <row r="8" spans="1:10" ht="15">
      <c r="A8" s="250"/>
      <c r="B8" s="251"/>
      <c r="C8" s="251"/>
      <c r="D8" s="251"/>
      <c r="E8" s="252"/>
      <c r="F8" s="64"/>
      <c r="G8" s="65"/>
      <c r="H8" s="66"/>
      <c r="I8" s="255" t="s">
        <v>201</v>
      </c>
      <c r="J8" s="256"/>
    </row>
    <row r="9" spans="1:10" ht="15">
      <c r="A9" s="69" t="s">
        <v>202</v>
      </c>
      <c r="B9" s="70"/>
      <c r="C9" s="70"/>
      <c r="D9" s="70"/>
      <c r="E9" s="71">
        <v>0.37</v>
      </c>
      <c r="F9" s="257" t="s">
        <v>203</v>
      </c>
      <c r="G9" s="258"/>
      <c r="H9" s="258"/>
      <c r="I9" s="259">
        <f>4/100*0.37</f>
        <v>0.0148</v>
      </c>
      <c r="J9" s="259"/>
    </row>
    <row r="10" spans="1:10" ht="15">
      <c r="A10" s="54"/>
      <c r="B10" s="54"/>
      <c r="C10" s="54"/>
      <c r="D10" s="54"/>
      <c r="E10" s="54"/>
      <c r="F10" s="54"/>
      <c r="G10" s="54"/>
      <c r="H10" s="54"/>
      <c r="I10" s="54"/>
      <c r="J10" s="54"/>
    </row>
    <row r="11" spans="1:11" ht="15">
      <c r="A11" s="58" t="s">
        <v>204</v>
      </c>
      <c r="B11" s="58"/>
      <c r="C11" s="58"/>
      <c r="D11" s="58"/>
      <c r="E11" s="55"/>
      <c r="F11" s="55"/>
      <c r="G11" s="55"/>
      <c r="H11" s="55"/>
      <c r="I11" s="55"/>
      <c r="J11" s="55"/>
      <c r="K11" t="s">
        <v>205</v>
      </c>
    </row>
    <row r="12" spans="1:10" ht="15">
      <c r="A12" s="55" t="s">
        <v>206</v>
      </c>
      <c r="B12" s="55"/>
      <c r="C12" s="55"/>
      <c r="D12" s="55"/>
      <c r="E12" s="55"/>
      <c r="F12" s="55"/>
      <c r="G12" s="55"/>
      <c r="H12" s="55"/>
      <c r="I12" s="55"/>
      <c r="J12" s="55"/>
    </row>
    <row r="13" spans="1:10" ht="15">
      <c r="A13" s="260" t="s">
        <v>207</v>
      </c>
      <c r="B13" s="260"/>
      <c r="C13" s="260"/>
      <c r="D13" s="260"/>
      <c r="E13" s="260"/>
      <c r="F13" s="260"/>
      <c r="G13" s="260"/>
      <c r="H13" s="260"/>
      <c r="I13" s="260"/>
      <c r="J13" s="260"/>
    </row>
    <row r="14" spans="1:10" ht="15">
      <c r="A14" s="59" t="s">
        <v>208</v>
      </c>
      <c r="B14" s="60"/>
      <c r="C14" s="60"/>
      <c r="D14" s="60"/>
      <c r="E14" s="61"/>
      <c r="F14" s="59" t="s">
        <v>199</v>
      </c>
      <c r="G14" s="60"/>
      <c r="H14" s="61"/>
      <c r="I14" s="253" t="s">
        <v>200</v>
      </c>
      <c r="J14" s="254"/>
    </row>
    <row r="15" spans="1:10" ht="15">
      <c r="A15" s="64"/>
      <c r="B15" s="65"/>
      <c r="C15" s="65"/>
      <c r="D15" s="65"/>
      <c r="E15" s="66"/>
      <c r="F15" s="64"/>
      <c r="G15" s="65"/>
      <c r="H15" s="66"/>
      <c r="I15" s="255" t="s">
        <v>201</v>
      </c>
      <c r="J15" s="256"/>
    </row>
    <row r="16" spans="1:10" ht="15">
      <c r="A16" s="69" t="s">
        <v>209</v>
      </c>
      <c r="B16" s="70"/>
      <c r="C16" s="70"/>
      <c r="D16" s="70"/>
      <c r="E16" s="71">
        <v>9.695</v>
      </c>
      <c r="F16" s="257" t="s">
        <v>210</v>
      </c>
      <c r="G16" s="258"/>
      <c r="H16" s="258"/>
      <c r="I16" s="261">
        <f>3/10*9.695</f>
        <v>2.9085</v>
      </c>
      <c r="J16" s="261"/>
    </row>
    <row r="17" spans="1:11" ht="15">
      <c r="A17" s="55"/>
      <c r="B17" s="55"/>
      <c r="C17" s="55"/>
      <c r="D17" s="55"/>
      <c r="E17" s="124">
        <v>9.65</v>
      </c>
      <c r="F17" s="55"/>
      <c r="G17" s="55"/>
      <c r="H17" s="55"/>
      <c r="I17" s="55"/>
      <c r="J17" s="55"/>
      <c r="K17" s="123">
        <v>3</v>
      </c>
    </row>
    <row r="18" spans="1:10" ht="15">
      <c r="A18" s="73" t="s">
        <v>211</v>
      </c>
      <c r="B18" s="73"/>
      <c r="C18" s="73"/>
      <c r="D18" s="73"/>
      <c r="E18" s="73"/>
      <c r="F18" s="73"/>
      <c r="G18" s="73"/>
      <c r="H18" s="73"/>
      <c r="I18" s="73"/>
      <c r="J18" s="73"/>
    </row>
    <row r="19" spans="1:10" ht="15">
      <c r="A19" s="262" t="s">
        <v>212</v>
      </c>
      <c r="B19" s="263"/>
      <c r="C19" s="263"/>
      <c r="D19" s="263"/>
      <c r="E19" s="263"/>
      <c r="F19" s="263"/>
      <c r="G19" s="263"/>
      <c r="H19" s="263"/>
      <c r="I19" s="263"/>
      <c r="J19" s="263"/>
    </row>
    <row r="20" spans="1:10" ht="15">
      <c r="A20" s="55" t="s">
        <v>213</v>
      </c>
      <c r="B20" s="55"/>
      <c r="C20" s="55"/>
      <c r="D20" s="55"/>
      <c r="E20" s="55"/>
      <c r="F20" s="55"/>
      <c r="G20" s="55"/>
      <c r="H20" s="55"/>
      <c r="I20" s="55"/>
      <c r="J20" s="55"/>
    </row>
    <row r="21" spans="1:10" ht="15">
      <c r="A21" s="55"/>
      <c r="B21" s="55"/>
      <c r="C21" s="55"/>
      <c r="D21" s="55"/>
      <c r="E21" s="55"/>
      <c r="F21" s="55"/>
      <c r="G21" s="55"/>
      <c r="H21" s="55"/>
      <c r="I21" s="55"/>
      <c r="J21" s="55"/>
    </row>
    <row r="22" spans="1:10" ht="15">
      <c r="A22" s="58" t="s">
        <v>214</v>
      </c>
      <c r="B22" s="55"/>
      <c r="C22" s="55"/>
      <c r="D22" s="55"/>
      <c r="E22" s="55"/>
      <c r="F22" s="55"/>
      <c r="G22" s="55"/>
      <c r="H22" s="55"/>
      <c r="I22" s="55"/>
      <c r="J22" s="55"/>
    </row>
    <row r="23" spans="1:10" ht="15">
      <c r="A23" s="55" t="s">
        <v>215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0" ht="15">
      <c r="A24" s="55" t="s">
        <v>216</v>
      </c>
      <c r="B24" s="55"/>
      <c r="C24" s="55" t="s">
        <v>217</v>
      </c>
      <c r="D24" s="55"/>
      <c r="E24" s="55"/>
      <c r="F24" s="55"/>
      <c r="G24" s="55"/>
      <c r="H24" s="55"/>
      <c r="I24" s="55"/>
      <c r="J24" s="55"/>
    </row>
    <row r="25" spans="1:10" ht="15">
      <c r="A25" s="59" t="s">
        <v>218</v>
      </c>
      <c r="B25" s="60"/>
      <c r="C25" s="60"/>
      <c r="D25" s="60"/>
      <c r="E25" s="60"/>
      <c r="F25" s="59" t="s">
        <v>199</v>
      </c>
      <c r="G25" s="60"/>
      <c r="H25" s="60"/>
      <c r="I25" s="253" t="s">
        <v>200</v>
      </c>
      <c r="J25" s="254"/>
    </row>
    <row r="26" spans="1:10" ht="15">
      <c r="A26" s="64"/>
      <c r="B26" s="65" t="s">
        <v>219</v>
      </c>
      <c r="C26" s="65"/>
      <c r="D26" s="65"/>
      <c r="E26" s="65"/>
      <c r="F26" s="64"/>
      <c r="G26" s="65"/>
      <c r="H26" s="65"/>
      <c r="I26" s="255" t="s">
        <v>201</v>
      </c>
      <c r="J26" s="256"/>
    </row>
    <row r="27" spans="1:11" ht="15">
      <c r="A27" s="75" t="s">
        <v>220</v>
      </c>
      <c r="B27" s="75" t="s">
        <v>221</v>
      </c>
      <c r="C27" s="76"/>
      <c r="D27" s="77">
        <v>6.5</v>
      </c>
      <c r="E27" s="78"/>
      <c r="F27" s="257" t="s">
        <v>222</v>
      </c>
      <c r="G27" s="258"/>
      <c r="H27" s="258"/>
      <c r="I27" s="264">
        <v>4</v>
      </c>
      <c r="J27" s="264"/>
      <c r="K27" s="123">
        <v>3</v>
      </c>
    </row>
    <row r="28" spans="1:11" ht="15">
      <c r="A28" s="75" t="s">
        <v>223</v>
      </c>
      <c r="B28" s="75" t="s">
        <v>221</v>
      </c>
      <c r="C28" s="76"/>
      <c r="D28" s="77">
        <v>6.5</v>
      </c>
      <c r="E28" s="78"/>
      <c r="F28" s="257" t="s">
        <v>222</v>
      </c>
      <c r="G28" s="258"/>
      <c r="H28" s="258"/>
      <c r="I28" s="264">
        <v>2</v>
      </c>
      <c r="J28" s="264"/>
      <c r="K28" s="123">
        <v>1</v>
      </c>
    </row>
    <row r="29" spans="1:11" ht="15">
      <c r="A29" s="79"/>
      <c r="B29" s="79"/>
      <c r="C29" s="79"/>
      <c r="D29" s="80"/>
      <c r="E29" s="81">
        <f>171.1/366</f>
        <v>0.4674863387978142</v>
      </c>
      <c r="F29" s="82"/>
      <c r="G29" s="83"/>
      <c r="H29" s="83"/>
      <c r="I29" s="84"/>
      <c r="J29" s="84"/>
      <c r="K29" s="85">
        <f>K17+K27+K28</f>
        <v>7</v>
      </c>
    </row>
    <row r="30" spans="1:11" ht="15">
      <c r="A30" s="79" t="s">
        <v>225</v>
      </c>
      <c r="B30" s="79"/>
      <c r="C30" s="79"/>
      <c r="D30" s="79"/>
      <c r="E30" s="79"/>
      <c r="F30" s="82"/>
      <c r="G30" s="83"/>
      <c r="H30" s="54"/>
      <c r="I30" s="90">
        <f>I9+I16+I27+I28</f>
        <v>8.923300000000001</v>
      </c>
      <c r="J30" s="88"/>
      <c r="K30" s="91"/>
    </row>
    <row r="31" spans="1:10" ht="15">
      <c r="A31" s="79"/>
      <c r="B31" s="79"/>
      <c r="C31" s="79"/>
      <c r="D31" s="79"/>
      <c r="E31" s="79"/>
      <c r="F31" s="82"/>
      <c r="G31" s="83"/>
      <c r="H31" s="83"/>
      <c r="I31" s="83"/>
      <c r="J31" s="83"/>
    </row>
    <row r="32" spans="1:10" ht="15">
      <c r="A32" s="79"/>
      <c r="B32" s="79"/>
      <c r="C32" s="79"/>
      <c r="D32" s="79"/>
      <c r="E32" s="79"/>
      <c r="F32" s="82"/>
      <c r="G32" s="83"/>
      <c r="H32" s="83"/>
      <c r="I32" s="83"/>
      <c r="J32" s="83"/>
    </row>
    <row r="33" spans="1:10" ht="15">
      <c r="A33" s="265" t="s">
        <v>226</v>
      </c>
      <c r="B33" s="265"/>
      <c r="C33" s="265"/>
      <c r="D33" s="265"/>
      <c r="E33" s="265"/>
      <c r="F33" s="265"/>
      <c r="G33" s="265"/>
      <c r="H33" s="265"/>
      <c r="I33" s="265"/>
      <c r="J33" s="265"/>
    </row>
    <row r="34" spans="1:10" ht="15">
      <c r="A34" s="263" t="s">
        <v>227</v>
      </c>
      <c r="B34" s="263"/>
      <c r="C34" s="263"/>
      <c r="D34" s="263"/>
      <c r="E34" s="263"/>
      <c r="F34" s="263"/>
      <c r="G34" s="263"/>
      <c r="H34" s="263"/>
      <c r="I34" s="263"/>
      <c r="J34" s="263"/>
    </row>
    <row r="35" spans="1:10" ht="15">
      <c r="A35" s="253" t="s">
        <v>228</v>
      </c>
      <c r="B35" s="266"/>
      <c r="C35" s="266"/>
      <c r="D35" s="266"/>
      <c r="E35" s="61"/>
      <c r="F35" s="253" t="s">
        <v>199</v>
      </c>
      <c r="G35" s="266"/>
      <c r="H35" s="254"/>
      <c r="I35" s="253" t="s">
        <v>200</v>
      </c>
      <c r="J35" s="254"/>
    </row>
    <row r="36" spans="1:13" ht="15">
      <c r="A36" s="255" t="s">
        <v>229</v>
      </c>
      <c r="B36" s="267"/>
      <c r="C36" s="267"/>
      <c r="D36" s="267"/>
      <c r="E36" s="66"/>
      <c r="F36" s="64"/>
      <c r="G36" s="65"/>
      <c r="H36" s="65"/>
      <c r="I36" s="255" t="s">
        <v>201</v>
      </c>
      <c r="J36" s="256"/>
      <c r="M36">
        <f>7/50</f>
        <v>0.14</v>
      </c>
    </row>
    <row r="37" spans="1:11" ht="15">
      <c r="A37" s="75" t="s">
        <v>230</v>
      </c>
      <c r="B37" s="76"/>
      <c r="C37" s="76"/>
      <c r="D37" s="93">
        <f>I30</f>
        <v>8.923300000000001</v>
      </c>
      <c r="E37" s="78"/>
      <c r="F37" s="257" t="s">
        <v>231</v>
      </c>
      <c r="G37" s="258"/>
      <c r="H37" s="258"/>
      <c r="I37" s="268">
        <f>D37/50*2</f>
        <v>0.356932</v>
      </c>
      <c r="J37" s="268"/>
      <c r="K37" s="86">
        <v>0.3</v>
      </c>
    </row>
    <row r="38" spans="1:10" ht="15">
      <c r="A38" s="94"/>
      <c r="B38" s="94"/>
      <c r="C38" s="94"/>
      <c r="D38" s="94"/>
      <c r="E38" s="94"/>
      <c r="F38" s="83"/>
      <c r="G38" s="83"/>
      <c r="H38" s="83"/>
      <c r="I38" s="83"/>
      <c r="J38" s="83"/>
    </row>
    <row r="39" spans="1:10" ht="15">
      <c r="A39" s="79" t="s">
        <v>232</v>
      </c>
      <c r="B39" s="79"/>
      <c r="C39" s="79"/>
      <c r="D39" s="95"/>
      <c r="E39" s="79"/>
      <c r="F39" s="82"/>
      <c r="G39" s="83"/>
      <c r="H39" s="83"/>
      <c r="I39" s="96">
        <f>I30+I37</f>
        <v>9.280232000000002</v>
      </c>
      <c r="J39" s="83"/>
    </row>
    <row r="40" spans="1:10" ht="15">
      <c r="A40" s="79"/>
      <c r="B40" s="79"/>
      <c r="C40" s="79"/>
      <c r="D40" s="95"/>
      <c r="E40" s="79"/>
      <c r="F40" s="82"/>
      <c r="G40" s="83"/>
      <c r="H40" s="83"/>
      <c r="I40" s="97"/>
      <c r="J40" s="97"/>
    </row>
    <row r="41" spans="1:10" ht="15">
      <c r="A41" s="265" t="s">
        <v>233</v>
      </c>
      <c r="B41" s="265"/>
      <c r="C41" s="265"/>
      <c r="D41" s="265"/>
      <c r="E41" s="265"/>
      <c r="F41" s="265"/>
      <c r="G41" s="265"/>
      <c r="H41" s="265"/>
      <c r="I41" s="265"/>
      <c r="J41" s="265"/>
    </row>
    <row r="42" spans="1:10" ht="15">
      <c r="A42" s="263" t="s">
        <v>234</v>
      </c>
      <c r="B42" s="263"/>
      <c r="C42" s="263"/>
      <c r="D42" s="263"/>
      <c r="E42" s="263"/>
      <c r="F42" s="263"/>
      <c r="G42" s="263"/>
      <c r="H42" s="263"/>
      <c r="I42" s="263"/>
      <c r="J42" s="263"/>
    </row>
    <row r="43" spans="1:12" ht="15">
      <c r="A43" s="98" t="s">
        <v>235</v>
      </c>
      <c r="B43" s="99"/>
      <c r="C43" s="99"/>
      <c r="D43" s="100"/>
      <c r="E43" s="101"/>
      <c r="F43" s="253" t="s">
        <v>199</v>
      </c>
      <c r="G43" s="266"/>
      <c r="H43" s="254"/>
      <c r="I43" s="253" t="s">
        <v>200</v>
      </c>
      <c r="J43" s="254"/>
      <c r="L43">
        <f>14.5*2/40</f>
        <v>0.725</v>
      </c>
    </row>
    <row r="44" spans="1:10" ht="15">
      <c r="A44" s="255" t="s">
        <v>236</v>
      </c>
      <c r="B44" s="267"/>
      <c r="C44" s="267"/>
      <c r="D44" s="267"/>
      <c r="E44" s="66"/>
      <c r="F44" s="64"/>
      <c r="G44" s="65"/>
      <c r="H44" s="65"/>
      <c r="I44" s="255" t="s">
        <v>201</v>
      </c>
      <c r="J44" s="256"/>
    </row>
    <row r="45" spans="1:10" ht="15">
      <c r="A45" s="75" t="s">
        <v>237</v>
      </c>
      <c r="B45" s="76"/>
      <c r="C45" s="76"/>
      <c r="D45" s="93">
        <v>0.37</v>
      </c>
      <c r="E45" s="78"/>
      <c r="F45" s="257" t="s">
        <v>231</v>
      </c>
      <c r="G45" s="258"/>
      <c r="H45" s="258"/>
      <c r="I45" s="268">
        <f>D45/40*2</f>
        <v>0.0185</v>
      </c>
      <c r="J45" s="268"/>
    </row>
    <row r="46" spans="1:11" ht="15">
      <c r="A46" s="74"/>
      <c r="B46" s="74"/>
      <c r="C46" s="74"/>
      <c r="D46" s="102">
        <f>135/366</f>
        <v>0.36885245901639346</v>
      </c>
      <c r="E46" s="74"/>
      <c r="F46" s="74"/>
      <c r="G46" s="74"/>
      <c r="H46" s="74"/>
      <c r="I46" s="102"/>
      <c r="J46" s="74"/>
      <c r="K46" s="103">
        <v>0.7</v>
      </c>
    </row>
    <row r="47" spans="1:10" ht="15">
      <c r="A47" s="265" t="s">
        <v>238</v>
      </c>
      <c r="B47" s="265"/>
      <c r="C47" s="265"/>
      <c r="D47" s="265"/>
      <c r="E47" s="265"/>
      <c r="F47" s="265"/>
      <c r="G47" s="265"/>
      <c r="H47" s="265"/>
      <c r="I47" s="265"/>
      <c r="J47" s="265"/>
    </row>
    <row r="48" spans="1:10" ht="15">
      <c r="A48" s="263" t="s">
        <v>239</v>
      </c>
      <c r="B48" s="263"/>
      <c r="C48" s="263"/>
      <c r="D48" s="263"/>
      <c r="E48" s="263"/>
      <c r="F48" s="263"/>
      <c r="G48" s="263"/>
      <c r="H48" s="263"/>
      <c r="I48" s="263"/>
      <c r="J48" s="263"/>
    </row>
    <row r="49" spans="1:10" ht="15">
      <c r="A49" s="253" t="s">
        <v>240</v>
      </c>
      <c r="B49" s="266"/>
      <c r="C49" s="266"/>
      <c r="D49" s="266"/>
      <c r="E49" s="254"/>
      <c r="F49" s="253" t="s">
        <v>199</v>
      </c>
      <c r="G49" s="266"/>
      <c r="H49" s="254"/>
      <c r="I49" s="253" t="s">
        <v>200</v>
      </c>
      <c r="J49" s="254"/>
    </row>
    <row r="50" spans="1:13" ht="15">
      <c r="A50" s="104" t="s">
        <v>241</v>
      </c>
      <c r="B50" s="105"/>
      <c r="C50" s="105"/>
      <c r="D50" s="105"/>
      <c r="E50" s="106"/>
      <c r="F50" s="64"/>
      <c r="G50" s="65"/>
      <c r="H50" s="65"/>
      <c r="I50" s="255" t="s">
        <v>201</v>
      </c>
      <c r="J50" s="256"/>
      <c r="M50">
        <f>7/20</f>
        <v>0.35</v>
      </c>
    </row>
    <row r="51" spans="1:12" ht="15">
      <c r="A51" s="75" t="s">
        <v>242</v>
      </c>
      <c r="B51" s="76"/>
      <c r="C51" s="76"/>
      <c r="D51" s="93">
        <f>I16</f>
        <v>2.9085</v>
      </c>
      <c r="E51" s="78"/>
      <c r="F51" s="257" t="s">
        <v>231</v>
      </c>
      <c r="G51" s="258"/>
      <c r="H51" s="258"/>
      <c r="I51" s="268">
        <f>D51/20*2</f>
        <v>0.29085</v>
      </c>
      <c r="J51" s="268"/>
      <c r="K51" s="86">
        <v>0.3</v>
      </c>
      <c r="L51" s="86">
        <f>K37+K51</f>
        <v>0.6</v>
      </c>
    </row>
    <row r="52" spans="1:10" ht="15">
      <c r="A52" s="74"/>
      <c r="B52" s="74"/>
      <c r="C52" s="74"/>
      <c r="D52" s="74"/>
      <c r="E52" s="74"/>
      <c r="F52" s="74"/>
      <c r="G52" s="74"/>
      <c r="H52" s="74"/>
      <c r="I52" s="74"/>
      <c r="J52" s="74"/>
    </row>
    <row r="53" spans="1:10" ht="15">
      <c r="A53" s="265" t="s">
        <v>243</v>
      </c>
      <c r="B53" s="265"/>
      <c r="C53" s="265"/>
      <c r="D53" s="265"/>
      <c r="E53" s="265"/>
      <c r="F53" s="265"/>
      <c r="G53" s="265"/>
      <c r="H53" s="265"/>
      <c r="I53" s="265"/>
      <c r="J53" s="265"/>
    </row>
    <row r="54" spans="1:10" ht="15">
      <c r="A54" s="263" t="s">
        <v>244</v>
      </c>
      <c r="B54" s="263"/>
      <c r="C54" s="263"/>
      <c r="D54" s="263"/>
      <c r="E54" s="263"/>
      <c r="F54" s="263"/>
      <c r="G54" s="263"/>
      <c r="H54" s="263"/>
      <c r="I54" s="263"/>
      <c r="J54" s="263"/>
    </row>
    <row r="55" spans="1:13" ht="15">
      <c r="A55" s="98" t="s">
        <v>235</v>
      </c>
      <c r="B55" s="99"/>
      <c r="C55" s="99"/>
      <c r="D55" s="100"/>
      <c r="E55" s="101"/>
      <c r="F55" s="253" t="s">
        <v>199</v>
      </c>
      <c r="G55" s="266"/>
      <c r="H55" s="254"/>
      <c r="I55" s="253" t="s">
        <v>200</v>
      </c>
      <c r="J55" s="254"/>
      <c r="M55">
        <f>14.5*3/100</f>
        <v>0.435</v>
      </c>
    </row>
    <row r="56" spans="1:10" ht="15">
      <c r="A56" s="255" t="s">
        <v>236</v>
      </c>
      <c r="B56" s="267"/>
      <c r="C56" s="267"/>
      <c r="D56" s="267"/>
      <c r="E56" s="66"/>
      <c r="F56" s="64"/>
      <c r="G56" s="65"/>
      <c r="H56" s="65"/>
      <c r="I56" s="255" t="s">
        <v>201</v>
      </c>
      <c r="J56" s="256"/>
    </row>
    <row r="57" spans="1:11" ht="15">
      <c r="A57" s="75" t="s">
        <v>202</v>
      </c>
      <c r="B57" s="76"/>
      <c r="C57" s="76"/>
      <c r="D57" s="93">
        <v>0.37</v>
      </c>
      <c r="E57" s="78"/>
      <c r="F57" s="257" t="s">
        <v>203</v>
      </c>
      <c r="G57" s="258"/>
      <c r="H57" s="258"/>
      <c r="I57" s="268">
        <f>D57/100*4</f>
        <v>0.0148</v>
      </c>
      <c r="J57" s="268"/>
      <c r="K57" s="103">
        <v>0.4</v>
      </c>
    </row>
    <row r="58" spans="1:10" ht="15">
      <c r="A58" s="74"/>
      <c r="B58" s="74"/>
      <c r="C58" s="74"/>
      <c r="D58" s="74"/>
      <c r="E58" s="74"/>
      <c r="F58" s="74"/>
      <c r="G58" s="74"/>
      <c r="H58" s="74"/>
      <c r="I58" s="74"/>
      <c r="J58" s="74"/>
    </row>
    <row r="59" spans="1:10" ht="15">
      <c r="A59" s="265" t="s">
        <v>245</v>
      </c>
      <c r="B59" s="265"/>
      <c r="C59" s="265"/>
      <c r="D59" s="265"/>
      <c r="E59" s="265"/>
      <c r="F59" s="265"/>
      <c r="G59" s="265"/>
      <c r="H59" s="265"/>
      <c r="I59" s="265"/>
      <c r="J59" s="265"/>
    </row>
    <row r="60" spans="1:11" ht="15.75">
      <c r="A60" s="107" t="s">
        <v>246</v>
      </c>
      <c r="B60" s="74"/>
      <c r="C60" s="74"/>
      <c r="D60" s="74"/>
      <c r="E60" s="74"/>
      <c r="F60" s="74"/>
      <c r="G60" s="74"/>
      <c r="H60" s="74"/>
      <c r="I60" s="74"/>
      <c r="J60" s="74"/>
      <c r="K60" s="108"/>
    </row>
    <row r="61" spans="1:10" ht="15">
      <c r="A61" s="263" t="s">
        <v>247</v>
      </c>
      <c r="B61" s="263"/>
      <c r="C61" s="263"/>
      <c r="D61" s="263"/>
      <c r="E61" s="263"/>
      <c r="F61" s="263"/>
      <c r="G61" s="263"/>
      <c r="H61" s="263"/>
      <c r="I61" s="263"/>
      <c r="J61" s="263"/>
    </row>
    <row r="62" spans="1:10" ht="15">
      <c r="A62" s="98" t="s">
        <v>248</v>
      </c>
      <c r="B62" s="99"/>
      <c r="C62" s="99"/>
      <c r="D62" s="100"/>
      <c r="E62" s="101"/>
      <c r="F62" s="253" t="s">
        <v>199</v>
      </c>
      <c r="G62" s="266"/>
      <c r="H62" s="254"/>
      <c r="I62" s="253" t="s">
        <v>200</v>
      </c>
      <c r="J62" s="254"/>
    </row>
    <row r="63" spans="1:10" ht="15">
      <c r="A63" s="255" t="s">
        <v>249</v>
      </c>
      <c r="B63" s="267"/>
      <c r="C63" s="267"/>
      <c r="D63" s="267"/>
      <c r="E63" s="66"/>
      <c r="F63" s="64"/>
      <c r="G63" s="65"/>
      <c r="H63" s="65"/>
      <c r="I63" s="255" t="s">
        <v>201</v>
      </c>
      <c r="J63" s="256"/>
    </row>
    <row r="64" spans="1:11" ht="15">
      <c r="A64" s="75" t="s">
        <v>202</v>
      </c>
      <c r="B64" s="76"/>
      <c r="C64" s="76"/>
      <c r="D64" s="93">
        <v>0.37</v>
      </c>
      <c r="E64" s="78"/>
      <c r="F64" s="257" t="s">
        <v>224</v>
      </c>
      <c r="G64" s="258"/>
      <c r="H64" s="258"/>
      <c r="I64" s="268">
        <f>D64/100*3</f>
        <v>0.0111</v>
      </c>
      <c r="J64" s="268"/>
      <c r="K64" s="103">
        <v>0.1</v>
      </c>
    </row>
    <row r="65" spans="1:10" ht="15">
      <c r="A65" s="79"/>
      <c r="B65" s="79"/>
      <c r="C65" s="79"/>
      <c r="D65" s="109"/>
      <c r="E65" s="79"/>
      <c r="F65" s="82"/>
      <c r="G65" s="83"/>
      <c r="H65" s="83"/>
      <c r="I65" s="84"/>
      <c r="J65" s="84"/>
    </row>
    <row r="66" spans="1:10" ht="15">
      <c r="A66" s="265" t="s">
        <v>250</v>
      </c>
      <c r="B66" s="265"/>
      <c r="C66" s="265"/>
      <c r="D66" s="265"/>
      <c r="E66" s="265"/>
      <c r="F66" s="265"/>
      <c r="G66" s="265"/>
      <c r="H66" s="265"/>
      <c r="I66" s="265"/>
      <c r="J66" s="265"/>
    </row>
    <row r="67" spans="1:10" ht="15">
      <c r="A67" s="263" t="s">
        <v>251</v>
      </c>
      <c r="B67" s="263"/>
      <c r="C67" s="263"/>
      <c r="D67" s="263"/>
      <c r="E67" s="263"/>
      <c r="F67" s="263"/>
      <c r="G67" s="263"/>
      <c r="H67" s="263"/>
      <c r="I67" s="263"/>
      <c r="J67" s="263"/>
    </row>
    <row r="68" spans="1:10" ht="15">
      <c r="A68" s="98" t="s">
        <v>248</v>
      </c>
      <c r="B68" s="99"/>
      <c r="C68" s="99"/>
      <c r="D68" s="100"/>
      <c r="E68" s="101"/>
      <c r="F68" s="253" t="s">
        <v>199</v>
      </c>
      <c r="G68" s="266"/>
      <c r="H68" s="254"/>
      <c r="I68" s="253" t="s">
        <v>200</v>
      </c>
      <c r="J68" s="254"/>
    </row>
    <row r="69" spans="1:10" ht="15">
      <c r="A69" s="255" t="s">
        <v>249</v>
      </c>
      <c r="B69" s="267"/>
      <c r="C69" s="267"/>
      <c r="D69" s="267"/>
      <c r="E69" s="66"/>
      <c r="F69" s="64"/>
      <c r="G69" s="65"/>
      <c r="H69" s="65"/>
      <c r="I69" s="255" t="s">
        <v>201</v>
      </c>
      <c r="J69" s="256"/>
    </row>
    <row r="70" spans="1:11" ht="15">
      <c r="A70" s="75" t="s">
        <v>202</v>
      </c>
      <c r="B70" s="76"/>
      <c r="C70" s="76"/>
      <c r="D70" s="93">
        <v>0.37</v>
      </c>
      <c r="E70" s="78"/>
      <c r="F70" s="257" t="s">
        <v>252</v>
      </c>
      <c r="G70" s="258"/>
      <c r="H70" s="258"/>
      <c r="I70" s="268">
        <f>D70/100*2</f>
        <v>0.0074</v>
      </c>
      <c r="J70" s="268"/>
      <c r="K70" s="103">
        <v>0.1</v>
      </c>
    </row>
    <row r="71" spans="1:10" ht="15">
      <c r="A71" s="79"/>
      <c r="B71" s="79"/>
      <c r="C71" s="79"/>
      <c r="D71" s="109"/>
      <c r="E71" s="79"/>
      <c r="F71" s="82"/>
      <c r="G71" s="83"/>
      <c r="H71" s="83"/>
      <c r="I71" s="84"/>
      <c r="J71" s="84"/>
    </row>
    <row r="72" spans="1:10" ht="15">
      <c r="A72" s="79"/>
      <c r="B72" s="79"/>
      <c r="C72" s="79"/>
      <c r="D72" s="95"/>
      <c r="E72" s="79"/>
      <c r="F72" s="82"/>
      <c r="G72" s="83"/>
      <c r="H72" s="83"/>
      <c r="I72" s="97"/>
      <c r="J72" s="97"/>
    </row>
    <row r="73" spans="1:10" ht="15">
      <c r="A73" s="79" t="s">
        <v>253</v>
      </c>
      <c r="B73" s="79"/>
      <c r="C73" s="79"/>
      <c r="D73" s="95"/>
      <c r="E73" s="79"/>
      <c r="F73" s="82"/>
      <c r="G73" s="83"/>
      <c r="H73" s="83"/>
      <c r="I73" s="90">
        <f>I70+I64+I57+I51+I45+J30</f>
        <v>0.34265</v>
      </c>
      <c r="J73" s="97"/>
    </row>
    <row r="74" spans="1:10" ht="15">
      <c r="A74" s="246" t="s">
        <v>254</v>
      </c>
      <c r="B74" s="246"/>
      <c r="C74" s="246"/>
      <c r="D74" s="246"/>
      <c r="E74" s="246"/>
      <c r="F74" s="246"/>
      <c r="G74" s="246"/>
      <c r="H74" s="246"/>
      <c r="I74" s="246"/>
      <c r="J74" s="246"/>
    </row>
    <row r="75" spans="1:10" ht="15">
      <c r="A75" s="269" t="s">
        <v>255</v>
      </c>
      <c r="B75" s="269"/>
      <c r="C75" s="269"/>
      <c r="D75" s="269"/>
      <c r="E75" s="269"/>
      <c r="F75" s="269"/>
      <c r="G75" s="269"/>
      <c r="H75" s="269"/>
      <c r="I75" s="269"/>
      <c r="J75" s="269"/>
    </row>
    <row r="76" spans="1:10" ht="15">
      <c r="A76" s="55" t="s">
        <v>256</v>
      </c>
      <c r="B76" s="55"/>
      <c r="C76" s="55"/>
      <c r="D76" s="55"/>
      <c r="E76" s="55"/>
      <c r="F76" s="55"/>
      <c r="G76" s="55"/>
      <c r="H76" s="55"/>
      <c r="I76" s="55"/>
      <c r="J76" s="55"/>
    </row>
    <row r="77" spans="1:10" ht="15">
      <c r="A77" s="59" t="s">
        <v>257</v>
      </c>
      <c r="B77" s="60"/>
      <c r="C77" s="61"/>
      <c r="D77" s="253" t="s">
        <v>258</v>
      </c>
      <c r="E77" s="266"/>
      <c r="F77" s="266"/>
      <c r="G77" s="254"/>
      <c r="H77" s="253" t="s">
        <v>259</v>
      </c>
      <c r="I77" s="266"/>
      <c r="J77" s="254"/>
    </row>
    <row r="78" spans="1:10" ht="15">
      <c r="A78" s="64" t="s">
        <v>260</v>
      </c>
      <c r="B78" s="65"/>
      <c r="C78" s="66"/>
      <c r="D78" s="255" t="s">
        <v>261</v>
      </c>
      <c r="E78" s="267"/>
      <c r="F78" s="267"/>
      <c r="G78" s="256"/>
      <c r="H78" s="255" t="s">
        <v>262</v>
      </c>
      <c r="I78" s="267"/>
      <c r="J78" s="256"/>
    </row>
    <row r="79" spans="1:12" ht="15">
      <c r="A79" s="266"/>
      <c r="B79" s="266"/>
      <c r="C79" s="254"/>
      <c r="D79" s="72" t="s">
        <v>263</v>
      </c>
      <c r="E79" s="270">
        <v>9.28</v>
      </c>
      <c r="F79" s="271"/>
      <c r="G79" s="272"/>
      <c r="H79" s="279"/>
      <c r="I79" s="280"/>
      <c r="J79" s="281"/>
      <c r="K79">
        <v>100</v>
      </c>
      <c r="L79">
        <v>22</v>
      </c>
    </row>
    <row r="80" spans="1:12" ht="15">
      <c r="A80" s="110" t="s">
        <v>264</v>
      </c>
      <c r="B80" s="70"/>
      <c r="C80" s="111"/>
      <c r="D80" s="89">
        <v>2</v>
      </c>
      <c r="E80" s="273"/>
      <c r="F80" s="274"/>
      <c r="G80" s="275"/>
      <c r="H80" s="282">
        <f>E79*2/100</f>
        <v>0.1856</v>
      </c>
      <c r="I80" s="283"/>
      <c r="J80" s="284"/>
      <c r="K80">
        <v>7.3</v>
      </c>
      <c r="L80">
        <f>K80*L79/K79</f>
        <v>1.6059999999999999</v>
      </c>
    </row>
    <row r="81" spans="1:10" ht="15">
      <c r="A81" s="59" t="s">
        <v>265</v>
      </c>
      <c r="B81" s="60"/>
      <c r="C81" s="61"/>
      <c r="D81" s="87"/>
      <c r="E81" s="273"/>
      <c r="F81" s="274"/>
      <c r="G81" s="275"/>
      <c r="H81" s="285">
        <f>E79*5/100</f>
        <v>0.46399999999999997</v>
      </c>
      <c r="I81" s="285"/>
      <c r="J81" s="285"/>
    </row>
    <row r="82" spans="1:10" ht="15">
      <c r="A82" s="64" t="s">
        <v>266</v>
      </c>
      <c r="B82" s="65"/>
      <c r="C82" s="66"/>
      <c r="D82" s="92" t="s">
        <v>267</v>
      </c>
      <c r="E82" s="273"/>
      <c r="F82" s="274"/>
      <c r="G82" s="275"/>
      <c r="H82" s="285"/>
      <c r="I82" s="285"/>
      <c r="J82" s="285"/>
    </row>
    <row r="83" spans="1:10" ht="15">
      <c r="A83" s="112" t="s">
        <v>268</v>
      </c>
      <c r="B83" s="60"/>
      <c r="C83" s="61"/>
      <c r="D83" s="87"/>
      <c r="E83" s="273"/>
      <c r="F83" s="274"/>
      <c r="G83" s="275"/>
      <c r="H83" s="285">
        <f>E79*1/100</f>
        <v>0.0928</v>
      </c>
      <c r="I83" s="285"/>
      <c r="J83" s="285"/>
    </row>
    <row r="84" spans="1:10" ht="15">
      <c r="A84" s="113" t="s">
        <v>269</v>
      </c>
      <c r="B84" s="65"/>
      <c r="C84" s="66"/>
      <c r="D84" s="92">
        <v>1</v>
      </c>
      <c r="E84" s="273"/>
      <c r="F84" s="274"/>
      <c r="G84" s="275"/>
      <c r="H84" s="285"/>
      <c r="I84" s="285"/>
      <c r="J84" s="285"/>
    </row>
    <row r="85" spans="1:10" ht="15">
      <c r="A85" s="112" t="s">
        <v>270</v>
      </c>
      <c r="B85" s="60"/>
      <c r="C85" s="61"/>
      <c r="D85" s="87"/>
      <c r="E85" s="273"/>
      <c r="F85" s="274"/>
      <c r="G85" s="275"/>
      <c r="H85" s="285">
        <f>E79*1/100</f>
        <v>0.0928</v>
      </c>
      <c r="I85" s="285"/>
      <c r="J85" s="285"/>
    </row>
    <row r="86" spans="1:10" ht="15">
      <c r="A86" s="114" t="s">
        <v>271</v>
      </c>
      <c r="B86" s="94"/>
      <c r="C86" s="115"/>
      <c r="D86" s="92">
        <v>1</v>
      </c>
      <c r="E86" s="273"/>
      <c r="F86" s="274"/>
      <c r="G86" s="275"/>
      <c r="H86" s="285"/>
      <c r="I86" s="285"/>
      <c r="J86" s="285"/>
    </row>
    <row r="87" spans="1:10" ht="15">
      <c r="A87" s="112" t="s">
        <v>272</v>
      </c>
      <c r="B87" s="60"/>
      <c r="C87" s="61"/>
      <c r="D87" s="63"/>
      <c r="E87" s="273"/>
      <c r="F87" s="274"/>
      <c r="G87" s="275"/>
      <c r="H87" s="285">
        <f>E79*1/100</f>
        <v>0.0928</v>
      </c>
      <c r="I87" s="285"/>
      <c r="J87" s="285"/>
    </row>
    <row r="88" spans="1:10" ht="15">
      <c r="A88" s="113" t="s">
        <v>273</v>
      </c>
      <c r="B88" s="65"/>
      <c r="C88" s="66"/>
      <c r="D88" s="68">
        <v>1</v>
      </c>
      <c r="E88" s="273"/>
      <c r="F88" s="274"/>
      <c r="G88" s="275"/>
      <c r="H88" s="285"/>
      <c r="I88" s="285"/>
      <c r="J88" s="285"/>
    </row>
    <row r="89" spans="1:10" ht="15">
      <c r="A89" s="112" t="s">
        <v>274</v>
      </c>
      <c r="B89" s="60"/>
      <c r="C89" s="61"/>
      <c r="D89" s="116"/>
      <c r="E89" s="273"/>
      <c r="F89" s="274"/>
      <c r="G89" s="275"/>
      <c r="H89" s="286">
        <f>E79*4/100</f>
        <v>0.3712</v>
      </c>
      <c r="I89" s="287"/>
      <c r="J89" s="288"/>
    </row>
    <row r="90" spans="1:10" ht="15">
      <c r="A90" s="114" t="s">
        <v>275</v>
      </c>
      <c r="B90" s="94"/>
      <c r="C90" s="115"/>
      <c r="D90" s="117"/>
      <c r="E90" s="273"/>
      <c r="F90" s="274"/>
      <c r="G90" s="275"/>
      <c r="H90" s="289"/>
      <c r="I90" s="290"/>
      <c r="J90" s="291"/>
    </row>
    <row r="91" spans="1:10" ht="15">
      <c r="A91" s="113" t="s">
        <v>276</v>
      </c>
      <c r="B91" s="65"/>
      <c r="C91" s="66"/>
      <c r="D91" s="118">
        <v>4</v>
      </c>
      <c r="E91" s="273"/>
      <c r="F91" s="274"/>
      <c r="G91" s="275"/>
      <c r="H91" s="292"/>
      <c r="I91" s="293"/>
      <c r="J91" s="294"/>
    </row>
    <row r="92" spans="1:10" ht="15">
      <c r="A92" s="69" t="s">
        <v>277</v>
      </c>
      <c r="B92" s="70"/>
      <c r="C92" s="111"/>
      <c r="D92" s="72">
        <v>1</v>
      </c>
      <c r="E92" s="273"/>
      <c r="F92" s="274"/>
      <c r="G92" s="275"/>
      <c r="H92" s="282">
        <f>E79*1/100</f>
        <v>0.0928</v>
      </c>
      <c r="I92" s="283"/>
      <c r="J92" s="284"/>
    </row>
    <row r="93" spans="1:10" ht="15">
      <c r="A93" s="69" t="s">
        <v>278</v>
      </c>
      <c r="B93" s="70"/>
      <c r="C93" s="111"/>
      <c r="D93" s="72">
        <v>1</v>
      </c>
      <c r="E93" s="273"/>
      <c r="F93" s="274"/>
      <c r="G93" s="275"/>
      <c r="H93" s="282">
        <f>E79*1/100</f>
        <v>0.0928</v>
      </c>
      <c r="I93" s="283"/>
      <c r="J93" s="284"/>
    </row>
    <row r="94" spans="1:10" ht="15">
      <c r="A94" s="69" t="s">
        <v>279</v>
      </c>
      <c r="B94" s="70"/>
      <c r="C94" s="111"/>
      <c r="D94" s="119">
        <v>1</v>
      </c>
      <c r="E94" s="273"/>
      <c r="F94" s="274"/>
      <c r="G94" s="275"/>
      <c r="H94" s="282">
        <f>E79*1/100</f>
        <v>0.0928</v>
      </c>
      <c r="I94" s="283"/>
      <c r="J94" s="284"/>
    </row>
    <row r="95" spans="1:10" ht="15">
      <c r="A95" s="112" t="s">
        <v>280</v>
      </c>
      <c r="B95" s="60"/>
      <c r="C95" s="61"/>
      <c r="D95" s="62"/>
      <c r="E95" s="273"/>
      <c r="F95" s="274"/>
      <c r="G95" s="275"/>
      <c r="H95" s="286">
        <f>E79*2/100</f>
        <v>0.1856</v>
      </c>
      <c r="I95" s="287"/>
      <c r="J95" s="288"/>
    </row>
    <row r="96" spans="1:10" ht="15">
      <c r="A96" s="114" t="s">
        <v>281</v>
      </c>
      <c r="B96" s="94"/>
      <c r="C96" s="115"/>
      <c r="D96" s="120">
        <v>2</v>
      </c>
      <c r="E96" s="273"/>
      <c r="F96" s="274"/>
      <c r="G96" s="275"/>
      <c r="H96" s="289"/>
      <c r="I96" s="290"/>
      <c r="J96" s="291"/>
    </row>
    <row r="97" spans="1:10" ht="15">
      <c r="A97" s="113" t="s">
        <v>282</v>
      </c>
      <c r="B97" s="65"/>
      <c r="C97" s="66"/>
      <c r="D97" s="67"/>
      <c r="E97" s="276"/>
      <c r="F97" s="277"/>
      <c r="G97" s="278"/>
      <c r="H97" s="292"/>
      <c r="I97" s="293"/>
      <c r="J97" s="294"/>
    </row>
    <row r="98" spans="1:10" ht="15">
      <c r="A98" s="121"/>
      <c r="B98" s="94"/>
      <c r="C98" s="94"/>
      <c r="D98" s="94"/>
      <c r="E98" s="83"/>
      <c r="F98" s="83"/>
      <c r="G98" s="122" t="s">
        <v>283</v>
      </c>
      <c r="H98" s="295">
        <f>H80+H81+H83+H85+H87+H89+H92+H94+H95+H93</f>
        <v>1.7631999999999999</v>
      </c>
      <c r="I98" s="296"/>
      <c r="J98" s="297"/>
    </row>
    <row r="101" spans="1:10" ht="15">
      <c r="A101" s="246" t="s">
        <v>254</v>
      </c>
      <c r="B101" s="246"/>
      <c r="C101" s="246"/>
      <c r="D101" s="246"/>
      <c r="E101" s="246"/>
      <c r="F101" s="246"/>
      <c r="G101" s="246"/>
      <c r="H101" s="246"/>
      <c r="I101" s="246"/>
      <c r="J101" s="246"/>
    </row>
    <row r="102" spans="1:10" ht="15">
      <c r="A102" s="269" t="s">
        <v>255</v>
      </c>
      <c r="B102" s="269"/>
      <c r="C102" s="269"/>
      <c r="D102" s="269"/>
      <c r="E102" s="269"/>
      <c r="F102" s="269"/>
      <c r="G102" s="269"/>
      <c r="H102" s="269"/>
      <c r="I102" s="269"/>
      <c r="J102" s="269"/>
    </row>
    <row r="103" spans="1:10" ht="15">
      <c r="A103" s="55" t="s">
        <v>256</v>
      </c>
      <c r="B103" s="55"/>
      <c r="C103" s="55"/>
      <c r="D103" s="55"/>
      <c r="E103" s="55"/>
      <c r="F103" s="55"/>
      <c r="G103" s="55"/>
      <c r="H103" s="55"/>
      <c r="I103" s="55"/>
      <c r="J103" s="55"/>
    </row>
    <row r="104" spans="1:10" ht="15">
      <c r="A104" s="59" t="s">
        <v>257</v>
      </c>
      <c r="B104" s="60"/>
      <c r="C104" s="61"/>
      <c r="D104" s="253" t="s">
        <v>258</v>
      </c>
      <c r="E104" s="266"/>
      <c r="F104" s="266"/>
      <c r="G104" s="254"/>
      <c r="H104" s="253" t="s">
        <v>259</v>
      </c>
      <c r="I104" s="266"/>
      <c r="J104" s="254"/>
    </row>
    <row r="105" spans="1:10" ht="15">
      <c r="A105" s="64" t="s">
        <v>260</v>
      </c>
      <c r="B105" s="65"/>
      <c r="C105" s="66"/>
      <c r="D105" s="255" t="s">
        <v>261</v>
      </c>
      <c r="E105" s="267"/>
      <c r="F105" s="267"/>
      <c r="G105" s="256"/>
      <c r="H105" s="255" t="s">
        <v>262</v>
      </c>
      <c r="I105" s="267"/>
      <c r="J105" s="256"/>
    </row>
    <row r="106" spans="1:12" ht="15">
      <c r="A106" s="266"/>
      <c r="B106" s="266"/>
      <c r="C106" s="254"/>
      <c r="D106" s="72" t="s">
        <v>263</v>
      </c>
      <c r="E106" s="270">
        <v>9.26</v>
      </c>
      <c r="F106" s="271"/>
      <c r="G106" s="272"/>
      <c r="H106" s="279"/>
      <c r="I106" s="280"/>
      <c r="J106" s="281"/>
      <c r="K106">
        <v>100</v>
      </c>
      <c r="L106">
        <v>22</v>
      </c>
    </row>
    <row r="107" spans="1:12" ht="15">
      <c r="A107" s="110" t="s">
        <v>264</v>
      </c>
      <c r="B107" s="70"/>
      <c r="C107" s="111"/>
      <c r="D107" s="89">
        <v>2</v>
      </c>
      <c r="E107" s="273"/>
      <c r="F107" s="274"/>
      <c r="G107" s="275"/>
      <c r="H107" s="282">
        <f>E106*2/100</f>
        <v>0.1852</v>
      </c>
      <c r="I107" s="283"/>
      <c r="J107" s="284"/>
      <c r="K107">
        <v>12</v>
      </c>
      <c r="L107">
        <f>K107*L106/K106</f>
        <v>2.64</v>
      </c>
    </row>
    <row r="108" spans="1:10" ht="15">
      <c r="A108" s="59" t="s">
        <v>265</v>
      </c>
      <c r="B108" s="60"/>
      <c r="C108" s="61"/>
      <c r="D108" s="87"/>
      <c r="E108" s="273"/>
      <c r="F108" s="274"/>
      <c r="G108" s="275"/>
      <c r="H108" s="285">
        <f>E106*5/100</f>
        <v>0.46299999999999997</v>
      </c>
      <c r="I108" s="285"/>
      <c r="J108" s="285"/>
    </row>
    <row r="109" spans="1:10" ht="15">
      <c r="A109" s="64" t="s">
        <v>266</v>
      </c>
      <c r="B109" s="65"/>
      <c r="C109" s="66"/>
      <c r="D109" s="92" t="s">
        <v>267</v>
      </c>
      <c r="E109" s="273"/>
      <c r="F109" s="274"/>
      <c r="G109" s="275"/>
      <c r="H109" s="285"/>
      <c r="I109" s="285"/>
      <c r="J109" s="285"/>
    </row>
    <row r="110" spans="1:10" ht="15">
      <c r="A110" s="112" t="s">
        <v>268</v>
      </c>
      <c r="B110" s="60"/>
      <c r="C110" s="61"/>
      <c r="D110" s="87"/>
      <c r="E110" s="273"/>
      <c r="F110" s="274"/>
      <c r="G110" s="275"/>
      <c r="H110" s="285">
        <f>E106*1/100</f>
        <v>0.0926</v>
      </c>
      <c r="I110" s="285"/>
      <c r="J110" s="285"/>
    </row>
    <row r="111" spans="1:10" ht="15">
      <c r="A111" s="113" t="s">
        <v>269</v>
      </c>
      <c r="B111" s="65"/>
      <c r="C111" s="66"/>
      <c r="D111" s="92">
        <v>1</v>
      </c>
      <c r="E111" s="273"/>
      <c r="F111" s="274"/>
      <c r="G111" s="275"/>
      <c r="H111" s="285"/>
      <c r="I111" s="285"/>
      <c r="J111" s="285"/>
    </row>
    <row r="112" spans="1:10" ht="15">
      <c r="A112" s="112" t="s">
        <v>270</v>
      </c>
      <c r="B112" s="60"/>
      <c r="C112" s="61"/>
      <c r="D112" s="87"/>
      <c r="E112" s="273"/>
      <c r="F112" s="274"/>
      <c r="G112" s="275"/>
      <c r="H112" s="285">
        <f>E106*1/100</f>
        <v>0.0926</v>
      </c>
      <c r="I112" s="285"/>
      <c r="J112" s="285"/>
    </row>
    <row r="113" spans="1:10" ht="15">
      <c r="A113" s="114" t="s">
        <v>271</v>
      </c>
      <c r="B113" s="94"/>
      <c r="C113" s="115"/>
      <c r="D113" s="92">
        <v>1</v>
      </c>
      <c r="E113" s="273"/>
      <c r="F113" s="274"/>
      <c r="G113" s="275"/>
      <c r="H113" s="285"/>
      <c r="I113" s="285"/>
      <c r="J113" s="285"/>
    </row>
    <row r="114" spans="1:10" ht="15">
      <c r="A114" s="112" t="s">
        <v>272</v>
      </c>
      <c r="B114" s="60"/>
      <c r="C114" s="61"/>
      <c r="D114" s="63"/>
      <c r="E114" s="273"/>
      <c r="F114" s="274"/>
      <c r="G114" s="275"/>
      <c r="H114" s="285">
        <f>E106*1/100</f>
        <v>0.0926</v>
      </c>
      <c r="I114" s="285"/>
      <c r="J114" s="285"/>
    </row>
    <row r="115" spans="1:10" ht="15">
      <c r="A115" s="113" t="s">
        <v>273</v>
      </c>
      <c r="B115" s="65"/>
      <c r="C115" s="66"/>
      <c r="D115" s="68">
        <v>1</v>
      </c>
      <c r="E115" s="273"/>
      <c r="F115" s="274"/>
      <c r="G115" s="275"/>
      <c r="H115" s="285"/>
      <c r="I115" s="285"/>
      <c r="J115" s="285"/>
    </row>
    <row r="116" spans="1:10" ht="15">
      <c r="A116" s="112" t="s">
        <v>274</v>
      </c>
      <c r="B116" s="60"/>
      <c r="C116" s="61"/>
      <c r="D116" s="116"/>
      <c r="E116" s="273"/>
      <c r="F116" s="274"/>
      <c r="G116" s="275"/>
      <c r="H116" s="286">
        <f>E106*4/100</f>
        <v>0.3704</v>
      </c>
      <c r="I116" s="287"/>
      <c r="J116" s="288"/>
    </row>
    <row r="117" spans="1:10" ht="15">
      <c r="A117" s="114" t="s">
        <v>275</v>
      </c>
      <c r="B117" s="94"/>
      <c r="C117" s="115"/>
      <c r="D117" s="117"/>
      <c r="E117" s="273"/>
      <c r="F117" s="274"/>
      <c r="G117" s="275"/>
      <c r="H117" s="289"/>
      <c r="I117" s="290"/>
      <c r="J117" s="291"/>
    </row>
    <row r="118" spans="1:10" ht="15">
      <c r="A118" s="113" t="s">
        <v>276</v>
      </c>
      <c r="B118" s="65"/>
      <c r="C118" s="66"/>
      <c r="D118" s="118">
        <v>4</v>
      </c>
      <c r="E118" s="273"/>
      <c r="F118" s="274"/>
      <c r="G118" s="275"/>
      <c r="H118" s="292"/>
      <c r="I118" s="293"/>
      <c r="J118" s="294"/>
    </row>
    <row r="119" spans="1:10" ht="15">
      <c r="A119" s="69" t="s">
        <v>277</v>
      </c>
      <c r="B119" s="70"/>
      <c r="C119" s="111"/>
      <c r="D119" s="72">
        <v>1</v>
      </c>
      <c r="E119" s="273"/>
      <c r="F119" s="274"/>
      <c r="G119" s="275"/>
      <c r="H119" s="282">
        <f>E106*1/100</f>
        <v>0.0926</v>
      </c>
      <c r="I119" s="283"/>
      <c r="J119" s="284"/>
    </row>
    <row r="120" spans="1:10" ht="15">
      <c r="A120" s="69" t="s">
        <v>278</v>
      </c>
      <c r="B120" s="70"/>
      <c r="C120" s="111"/>
      <c r="D120" s="72">
        <v>1</v>
      </c>
      <c r="E120" s="273"/>
      <c r="F120" s="274"/>
      <c r="G120" s="275"/>
      <c r="H120" s="282">
        <f>E106*1/100</f>
        <v>0.0926</v>
      </c>
      <c r="I120" s="283"/>
      <c r="J120" s="284"/>
    </row>
    <row r="121" spans="1:10" ht="15">
      <c r="A121" s="69" t="s">
        <v>279</v>
      </c>
      <c r="B121" s="70"/>
      <c r="C121" s="111"/>
      <c r="D121" s="119">
        <v>1</v>
      </c>
      <c r="E121" s="273"/>
      <c r="F121" s="274"/>
      <c r="G121" s="275"/>
      <c r="H121" s="282">
        <f>E106*1/100</f>
        <v>0.0926</v>
      </c>
      <c r="I121" s="283"/>
      <c r="J121" s="284"/>
    </row>
    <row r="122" spans="1:10" ht="15">
      <c r="A122" s="112" t="s">
        <v>280</v>
      </c>
      <c r="B122" s="60"/>
      <c r="C122" s="61"/>
      <c r="D122" s="62"/>
      <c r="E122" s="273"/>
      <c r="F122" s="274"/>
      <c r="G122" s="275"/>
      <c r="H122" s="286">
        <f>E106*2/100</f>
        <v>0.1852</v>
      </c>
      <c r="I122" s="287"/>
      <c r="J122" s="288"/>
    </row>
    <row r="123" spans="1:10" ht="15">
      <c r="A123" s="114" t="s">
        <v>281</v>
      </c>
      <c r="B123" s="94"/>
      <c r="C123" s="115"/>
      <c r="D123" s="120">
        <v>2</v>
      </c>
      <c r="E123" s="273"/>
      <c r="F123" s="274"/>
      <c r="G123" s="275"/>
      <c r="H123" s="289"/>
      <c r="I123" s="290"/>
      <c r="J123" s="291"/>
    </row>
    <row r="124" spans="1:10" ht="15">
      <c r="A124" s="113" t="s">
        <v>282</v>
      </c>
      <c r="B124" s="65"/>
      <c r="C124" s="66"/>
      <c r="D124" s="67"/>
      <c r="E124" s="276"/>
      <c r="F124" s="277"/>
      <c r="G124" s="278"/>
      <c r="H124" s="292"/>
      <c r="I124" s="293"/>
      <c r="J124" s="294"/>
    </row>
    <row r="125" spans="1:10" ht="15">
      <c r="A125" s="121"/>
      <c r="B125" s="94"/>
      <c r="C125" s="94"/>
      <c r="D125" s="94"/>
      <c r="E125" s="83"/>
      <c r="F125" s="83"/>
      <c r="G125" s="122" t="s">
        <v>283</v>
      </c>
      <c r="H125" s="295">
        <f>H107+H108+H110+H112+H114+H116+H119+H121+H122+H120</f>
        <v>1.7594</v>
      </c>
      <c r="I125" s="296"/>
      <c r="J125" s="297"/>
    </row>
  </sheetData>
  <sheetProtection/>
  <mergeCells count="108">
    <mergeCell ref="H122:J124"/>
    <mergeCell ref="H125:J125"/>
    <mergeCell ref="H112:J113"/>
    <mergeCell ref="H114:J115"/>
    <mergeCell ref="H116:J118"/>
    <mergeCell ref="H119:J119"/>
    <mergeCell ref="H120:J120"/>
    <mergeCell ref="H121:J121"/>
    <mergeCell ref="D104:G104"/>
    <mergeCell ref="H104:J104"/>
    <mergeCell ref="D105:G105"/>
    <mergeCell ref="H105:J105"/>
    <mergeCell ref="A106:C106"/>
    <mergeCell ref="E106:G124"/>
    <mergeCell ref="H106:J106"/>
    <mergeCell ref="H107:J107"/>
    <mergeCell ref="H108:J109"/>
    <mergeCell ref="H110:J111"/>
    <mergeCell ref="H93:J93"/>
    <mergeCell ref="H94:J94"/>
    <mergeCell ref="H95:J97"/>
    <mergeCell ref="H98:J98"/>
    <mergeCell ref="A101:J101"/>
    <mergeCell ref="A102:J102"/>
    <mergeCell ref="A79:C79"/>
    <mergeCell ref="E79:G97"/>
    <mergeCell ref="H79:J79"/>
    <mergeCell ref="H80:J80"/>
    <mergeCell ref="H81:J82"/>
    <mergeCell ref="H83:J84"/>
    <mergeCell ref="H85:J86"/>
    <mergeCell ref="H87:J88"/>
    <mergeCell ref="H89:J91"/>
    <mergeCell ref="H92:J92"/>
    <mergeCell ref="A74:J74"/>
    <mergeCell ref="A75:J75"/>
    <mergeCell ref="D77:G77"/>
    <mergeCell ref="H77:J77"/>
    <mergeCell ref="D78:G78"/>
    <mergeCell ref="H78:J78"/>
    <mergeCell ref="F68:H68"/>
    <mergeCell ref="I68:J68"/>
    <mergeCell ref="A69:D69"/>
    <mergeCell ref="I69:J69"/>
    <mergeCell ref="F70:H70"/>
    <mergeCell ref="I70:J70"/>
    <mergeCell ref="A63:D63"/>
    <mergeCell ref="I63:J63"/>
    <mergeCell ref="F64:H64"/>
    <mergeCell ref="I64:J64"/>
    <mergeCell ref="A66:J66"/>
    <mergeCell ref="A67:J67"/>
    <mergeCell ref="F57:H57"/>
    <mergeCell ref="I57:J57"/>
    <mergeCell ref="A59:J59"/>
    <mergeCell ref="A61:J61"/>
    <mergeCell ref="F62:H62"/>
    <mergeCell ref="I62:J62"/>
    <mergeCell ref="A53:J53"/>
    <mergeCell ref="A54:J54"/>
    <mergeCell ref="F55:H55"/>
    <mergeCell ref="I55:J55"/>
    <mergeCell ref="A56:D56"/>
    <mergeCell ref="I56:J56"/>
    <mergeCell ref="A49:E49"/>
    <mergeCell ref="F49:H49"/>
    <mergeCell ref="I49:J49"/>
    <mergeCell ref="I50:J50"/>
    <mergeCell ref="F51:H51"/>
    <mergeCell ref="I51:J51"/>
    <mergeCell ref="A44:D44"/>
    <mergeCell ref="I44:J44"/>
    <mergeCell ref="F45:H45"/>
    <mergeCell ref="I45:J45"/>
    <mergeCell ref="A47:J47"/>
    <mergeCell ref="A48:J48"/>
    <mergeCell ref="F37:H37"/>
    <mergeCell ref="I37:J37"/>
    <mergeCell ref="A41:J41"/>
    <mergeCell ref="A42:J42"/>
    <mergeCell ref="F43:H43"/>
    <mergeCell ref="I43:J43"/>
    <mergeCell ref="A33:J33"/>
    <mergeCell ref="A34:J34"/>
    <mergeCell ref="A35:D35"/>
    <mergeCell ref="F35:H35"/>
    <mergeCell ref="I35:J35"/>
    <mergeCell ref="A36:D36"/>
    <mergeCell ref="I36:J36"/>
    <mergeCell ref="I25:J25"/>
    <mergeCell ref="I26:J26"/>
    <mergeCell ref="F27:H27"/>
    <mergeCell ref="I27:J27"/>
    <mergeCell ref="F28:H28"/>
    <mergeCell ref="I28:J28"/>
    <mergeCell ref="A13:J13"/>
    <mergeCell ref="I14:J14"/>
    <mergeCell ref="I15:J15"/>
    <mergeCell ref="F16:H16"/>
    <mergeCell ref="I16:J16"/>
    <mergeCell ref="A19:J19"/>
    <mergeCell ref="B2:I2"/>
    <mergeCell ref="A3:J3"/>
    <mergeCell ref="A7:E8"/>
    <mergeCell ref="I7:J7"/>
    <mergeCell ref="I8:J8"/>
    <mergeCell ref="F9:H9"/>
    <mergeCell ref="I9:J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26">
      <selection activeCell="D29" sqref="D29"/>
    </sheetView>
  </sheetViews>
  <sheetFormatPr defaultColWidth="9.140625" defaultRowHeight="15"/>
  <cols>
    <col min="1" max="1" width="4.28125" style="0" customWidth="1"/>
    <col min="2" max="2" width="20.8515625" style="0" customWidth="1"/>
    <col min="3" max="3" width="11.8515625" style="141" bestFit="1" customWidth="1"/>
    <col min="4" max="4" width="32.8515625" style="141" customWidth="1"/>
    <col min="5" max="9" width="0" style="141" hidden="1" customWidth="1"/>
    <col min="10" max="10" width="10.00390625" style="141" customWidth="1"/>
    <col min="11" max="11" width="65.140625" style="0" customWidth="1"/>
  </cols>
  <sheetData>
    <row r="1" spans="1:4" ht="26.25" customHeight="1" hidden="1">
      <c r="A1" s="300"/>
      <c r="B1" s="300"/>
      <c r="C1" s="300"/>
      <c r="D1" s="300"/>
    </row>
    <row r="2" spans="2:4" ht="9.75" customHeight="1">
      <c r="B2" s="142"/>
      <c r="C2" s="143"/>
      <c r="D2" s="143"/>
    </row>
    <row r="3" spans="1:11" ht="21.75" customHeight="1">
      <c r="A3" s="144" t="s">
        <v>327</v>
      </c>
      <c r="B3" s="301" t="s">
        <v>328</v>
      </c>
      <c r="C3" s="301"/>
      <c r="D3" s="301"/>
      <c r="E3" s="301"/>
      <c r="F3" s="301"/>
      <c r="G3" s="301"/>
      <c r="H3" s="301"/>
      <c r="I3" s="301"/>
      <c r="J3" s="301"/>
      <c r="K3" s="301"/>
    </row>
    <row r="4" spans="1:11" ht="50.25" customHeight="1" thickBot="1">
      <c r="A4" s="145" t="s">
        <v>329</v>
      </c>
      <c r="B4" s="146" t="s">
        <v>330</v>
      </c>
      <c r="C4" s="302" t="s">
        <v>331</v>
      </c>
      <c r="D4" s="303"/>
      <c r="J4" s="147" t="s">
        <v>332</v>
      </c>
      <c r="K4" s="147" t="s">
        <v>333</v>
      </c>
    </row>
    <row r="5" spans="1:11" ht="153">
      <c r="A5" s="148">
        <v>1</v>
      </c>
      <c r="B5" s="149" t="s">
        <v>334</v>
      </c>
      <c r="C5" s="150">
        <f>438699.5/1000</f>
        <v>438.6995</v>
      </c>
      <c r="D5" s="151" t="s">
        <v>335</v>
      </c>
      <c r="J5" s="152">
        <f>1.32*22428.4*12/1000</f>
        <v>355.26585600000004</v>
      </c>
      <c r="K5" s="153" t="s">
        <v>336</v>
      </c>
    </row>
    <row r="6" spans="1:11" ht="69.75" customHeight="1">
      <c r="A6" s="154">
        <v>2</v>
      </c>
      <c r="B6" s="155" t="s">
        <v>337</v>
      </c>
      <c r="C6" s="156">
        <f>C5*30.2%</f>
        <v>132.487249</v>
      </c>
      <c r="D6" s="157" t="s">
        <v>338</v>
      </c>
      <c r="J6" s="152">
        <f>J5*30.2%</f>
        <v>107.290288512</v>
      </c>
      <c r="K6" s="158" t="s">
        <v>339</v>
      </c>
    </row>
    <row r="7" spans="1:11" ht="47.25" customHeight="1">
      <c r="A7" s="154">
        <v>3</v>
      </c>
      <c r="B7" s="159" t="s">
        <v>340</v>
      </c>
      <c r="C7" s="160">
        <f>28800/1000</f>
        <v>28.8</v>
      </c>
      <c r="D7" s="161" t="s">
        <v>341</v>
      </c>
      <c r="J7" s="162">
        <v>0</v>
      </c>
      <c r="K7" s="163" t="s">
        <v>342</v>
      </c>
    </row>
    <row r="8" spans="1:11" ht="132.75" customHeight="1">
      <c r="A8" s="154">
        <v>4</v>
      </c>
      <c r="B8" s="159" t="s">
        <v>343</v>
      </c>
      <c r="C8" s="160">
        <f>26627.88/1000</f>
        <v>26.62788</v>
      </c>
      <c r="D8" s="161" t="s">
        <v>344</v>
      </c>
      <c r="J8" s="164">
        <f>470*12*2/1000</f>
        <v>11.28</v>
      </c>
      <c r="K8" s="159" t="s">
        <v>345</v>
      </c>
    </row>
    <row r="9" spans="1:11" ht="244.5" customHeight="1">
      <c r="A9" s="154">
        <v>5</v>
      </c>
      <c r="B9" s="159" t="s">
        <v>346</v>
      </c>
      <c r="C9" s="160">
        <f>18220/1000</f>
        <v>18.22</v>
      </c>
      <c r="D9" s="165" t="s">
        <v>347</v>
      </c>
      <c r="J9" s="152">
        <f>'[1]спецодежда'!H47+3.96</f>
        <v>7.922231156567429</v>
      </c>
      <c r="K9" s="155" t="s">
        <v>348</v>
      </c>
    </row>
    <row r="10" spans="1:11" ht="51.75" customHeight="1">
      <c r="A10" s="154">
        <v>6</v>
      </c>
      <c r="B10" s="159" t="s">
        <v>349</v>
      </c>
      <c r="C10" s="160">
        <f>2592.594/1000</f>
        <v>2.592594</v>
      </c>
      <c r="D10" s="166" t="s">
        <v>350</v>
      </c>
      <c r="J10" s="167">
        <f>1296.297/1000*'[1]численность'!G44</f>
        <v>0.7500203027905858</v>
      </c>
      <c r="K10" s="168" t="s">
        <v>351</v>
      </c>
    </row>
    <row r="11" spans="1:11" ht="85.5" customHeight="1" thickBot="1">
      <c r="A11" s="169">
        <v>7</v>
      </c>
      <c r="B11" s="170" t="s">
        <v>352</v>
      </c>
      <c r="C11" s="171">
        <f>5780/1000</f>
        <v>5.78</v>
      </c>
      <c r="D11" s="166" t="s">
        <v>353</v>
      </c>
      <c r="G11" s="141">
        <f>31002.14/13*1.65</f>
        <v>3934.8869999999993</v>
      </c>
      <c r="J11" s="172">
        <v>0</v>
      </c>
      <c r="K11" s="173" t="s">
        <v>354</v>
      </c>
    </row>
    <row r="12" spans="1:11" ht="21.75" customHeight="1" thickBot="1">
      <c r="A12" s="174"/>
      <c r="B12" s="175" t="s">
        <v>355</v>
      </c>
      <c r="C12" s="176">
        <f>C5+C6+C7+C8+C9+C10+C11</f>
        <v>653.2072229999999</v>
      </c>
      <c r="D12" s="177" t="s">
        <v>356</v>
      </c>
      <c r="J12" s="152">
        <f>SUM(J5:J11)</f>
        <v>482.508395971358</v>
      </c>
      <c r="K12" s="178"/>
    </row>
    <row r="13" spans="1:10" ht="16.5" customHeight="1">
      <c r="A13" s="179" t="s">
        <v>357</v>
      </c>
      <c r="B13" s="180" t="s">
        <v>358</v>
      </c>
      <c r="C13" s="181">
        <f>C12/1.65*0.9</f>
        <v>356.2948489090909</v>
      </c>
      <c r="D13" s="182"/>
      <c r="G13" s="141">
        <f>159/22*1.65</f>
        <v>11.924999999999999</v>
      </c>
      <c r="J13" s="183">
        <f>J12/1.65*0.9</f>
        <v>263.18639780255893</v>
      </c>
    </row>
    <row r="14" spans="1:10" ht="16.5" customHeight="1">
      <c r="A14" s="179"/>
      <c r="B14" s="180" t="s">
        <v>359</v>
      </c>
      <c r="C14" s="181">
        <f>C12/1.65*0.75</f>
        <v>296.91237409090905</v>
      </c>
      <c r="D14" s="182"/>
      <c r="J14" s="183">
        <f>J12/1.65*0.75</f>
        <v>219.3219981687991</v>
      </c>
    </row>
    <row r="15" spans="1:4" ht="31.5" customHeight="1">
      <c r="A15" s="179"/>
      <c r="B15" s="304"/>
      <c r="C15" s="304"/>
      <c r="D15" s="304"/>
    </row>
    <row r="16" spans="1:4" ht="16.5" customHeight="1">
      <c r="A16" s="179"/>
      <c r="B16" s="184"/>
      <c r="C16" s="181"/>
      <c r="D16" s="182"/>
    </row>
    <row r="17" spans="1:4" ht="16.5" customHeight="1">
      <c r="A17" s="179"/>
      <c r="B17" s="184"/>
      <c r="C17" s="182"/>
      <c r="D17" s="182"/>
    </row>
    <row r="18" spans="1:4" ht="21.75" customHeight="1">
      <c r="A18" s="179"/>
      <c r="B18" s="305" t="s">
        <v>360</v>
      </c>
      <c r="C18" s="305"/>
      <c r="D18" s="305"/>
    </row>
    <row r="19" spans="1:4" ht="21.75" customHeight="1" thickBot="1">
      <c r="A19" s="179"/>
      <c r="B19" s="185"/>
      <c r="C19" s="185"/>
      <c r="D19" s="185"/>
    </row>
    <row r="20" spans="1:11" ht="71.25" customHeight="1" thickBot="1">
      <c r="A20" s="186" t="s">
        <v>0</v>
      </c>
      <c r="B20" s="187" t="s">
        <v>330</v>
      </c>
      <c r="C20" s="306" t="s">
        <v>331</v>
      </c>
      <c r="D20" s="307"/>
      <c r="J20" s="188" t="s">
        <v>332</v>
      </c>
      <c r="K20" s="188" t="s">
        <v>333</v>
      </c>
    </row>
    <row r="21" spans="1:11" ht="180" customHeight="1">
      <c r="A21" s="189">
        <v>1</v>
      </c>
      <c r="B21" s="190" t="s">
        <v>361</v>
      </c>
      <c r="C21" s="150">
        <v>831.84</v>
      </c>
      <c r="D21" s="298" t="s">
        <v>362</v>
      </c>
      <c r="E21" s="141">
        <v>2036.98</v>
      </c>
      <c r="J21" s="167">
        <v>638.608</v>
      </c>
      <c r="K21" s="153" t="s">
        <v>363</v>
      </c>
    </row>
    <row r="22" spans="1:11" ht="67.5" customHeight="1">
      <c r="A22" s="191">
        <v>2</v>
      </c>
      <c r="B22" s="192" t="s">
        <v>364</v>
      </c>
      <c r="C22" s="160">
        <f>C21*0.302</f>
        <v>251.21568</v>
      </c>
      <c r="D22" s="299"/>
      <c r="E22" s="141">
        <f>E21*0.302</f>
        <v>615.16796</v>
      </c>
      <c r="J22" s="183">
        <f>J21*0.302</f>
        <v>192.859616</v>
      </c>
      <c r="K22" s="158" t="s">
        <v>356</v>
      </c>
    </row>
    <row r="23" spans="1:11" ht="119.25" customHeight="1">
      <c r="A23" s="191">
        <v>3</v>
      </c>
      <c r="B23" s="192" t="s">
        <v>365</v>
      </c>
      <c r="C23" s="160">
        <v>122.73</v>
      </c>
      <c r="D23" s="157" t="s">
        <v>366</v>
      </c>
      <c r="E23" s="193">
        <f>C23</f>
        <v>122.73</v>
      </c>
      <c r="J23" s="216"/>
      <c r="K23" s="194" t="s">
        <v>367</v>
      </c>
    </row>
    <row r="24" spans="1:11" ht="25.5">
      <c r="A24" s="191">
        <v>4</v>
      </c>
      <c r="B24" s="192" t="s">
        <v>368</v>
      </c>
      <c r="C24" s="195">
        <f>SUM(C25:C27)</f>
        <v>314.51408000000004</v>
      </c>
      <c r="D24" s="157" t="s">
        <v>356</v>
      </c>
      <c r="E24" s="196">
        <f>E25+E27+E28</f>
        <v>418.84000000000003</v>
      </c>
      <c r="J24" s="216">
        <f>J25+J27+J28+J26</f>
        <v>385.545632</v>
      </c>
      <c r="K24" s="197" t="s">
        <v>17</v>
      </c>
    </row>
    <row r="25" spans="1:11" ht="25.5">
      <c r="A25" s="198" t="s">
        <v>369</v>
      </c>
      <c r="B25" s="192" t="s">
        <v>370</v>
      </c>
      <c r="C25" s="195">
        <v>131.04</v>
      </c>
      <c r="D25" s="199" t="s">
        <v>407</v>
      </c>
      <c r="E25" s="196">
        <f>C25</f>
        <v>131.04</v>
      </c>
      <c r="J25" s="167">
        <v>52.416</v>
      </c>
      <c r="K25" s="153" t="s">
        <v>371</v>
      </c>
    </row>
    <row r="26" spans="1:11" ht="25.5">
      <c r="A26" s="198" t="s">
        <v>356</v>
      </c>
      <c r="B26" s="192" t="s">
        <v>372</v>
      </c>
      <c r="C26" s="195">
        <f>C25*30.2/100</f>
        <v>39.574079999999995</v>
      </c>
      <c r="D26" s="200" t="s">
        <v>356</v>
      </c>
      <c r="E26" s="196"/>
      <c r="J26" s="167">
        <f>J25*30.2%</f>
        <v>15.829631999999998</v>
      </c>
      <c r="K26" s="158" t="s">
        <v>373</v>
      </c>
    </row>
    <row r="27" spans="1:11" ht="102">
      <c r="A27" s="198" t="s">
        <v>374</v>
      </c>
      <c r="B27" s="192" t="s">
        <v>408</v>
      </c>
      <c r="C27" s="195">
        <v>143.9</v>
      </c>
      <c r="D27" s="201" t="s">
        <v>375</v>
      </c>
      <c r="E27" s="196">
        <f>C27</f>
        <v>143.9</v>
      </c>
      <c r="J27" s="217">
        <v>91.8</v>
      </c>
      <c r="K27" s="153" t="s">
        <v>371</v>
      </c>
    </row>
    <row r="28" spans="1:11" ht="53.25" customHeight="1">
      <c r="A28" s="198" t="s">
        <v>376</v>
      </c>
      <c r="B28" s="192" t="s">
        <v>377</v>
      </c>
      <c r="C28" s="195">
        <v>143.9</v>
      </c>
      <c r="D28" s="202" t="s">
        <v>378</v>
      </c>
      <c r="E28" s="196">
        <f>C28</f>
        <v>143.9</v>
      </c>
      <c r="J28" s="218">
        <v>225.5</v>
      </c>
      <c r="K28" s="153" t="s">
        <v>371</v>
      </c>
    </row>
    <row r="29" spans="1:11" ht="38.25">
      <c r="A29" s="191">
        <v>5</v>
      </c>
      <c r="B29" s="192" t="s">
        <v>343</v>
      </c>
      <c r="C29" s="195">
        <v>43.056</v>
      </c>
      <c r="D29" s="161" t="s">
        <v>379</v>
      </c>
      <c r="E29" s="203">
        <v>44.4</v>
      </c>
      <c r="F29" s="204"/>
      <c r="G29" s="204"/>
      <c r="H29" s="204"/>
      <c r="I29" s="204"/>
      <c r="J29" s="215">
        <v>0</v>
      </c>
      <c r="K29" s="153" t="s">
        <v>380</v>
      </c>
    </row>
    <row r="30" spans="1:11" ht="76.5">
      <c r="A30" s="191">
        <v>6</v>
      </c>
      <c r="B30" s="192" t="s">
        <v>381</v>
      </c>
      <c r="C30" s="195">
        <v>15.8</v>
      </c>
      <c r="D30" s="202" t="s">
        <v>382</v>
      </c>
      <c r="E30" s="196">
        <f>C30</f>
        <v>15.8</v>
      </c>
      <c r="H30" s="141">
        <f>1500*38.8</f>
        <v>58199.99999999999</v>
      </c>
      <c r="I30" s="141">
        <f>58200+28600</f>
        <v>86800</v>
      </c>
      <c r="J30" s="162">
        <v>15.8</v>
      </c>
      <c r="K30" s="153" t="s">
        <v>380</v>
      </c>
    </row>
    <row r="31" spans="1:11" ht="28.5" customHeight="1">
      <c r="A31" s="191">
        <v>8</v>
      </c>
      <c r="B31" s="192" t="s">
        <v>383</v>
      </c>
      <c r="C31" s="195">
        <v>14.4</v>
      </c>
      <c r="D31" s="199" t="s">
        <v>409</v>
      </c>
      <c r="E31" s="196">
        <f>C31</f>
        <v>14.4</v>
      </c>
      <c r="J31" s="162">
        <v>14.4</v>
      </c>
      <c r="K31" s="153" t="s">
        <v>384</v>
      </c>
    </row>
    <row r="32" spans="1:11" ht="27" customHeight="1">
      <c r="A32" s="191">
        <v>9</v>
      </c>
      <c r="B32" s="192" t="s">
        <v>385</v>
      </c>
      <c r="C32" s="195">
        <v>3.6</v>
      </c>
      <c r="D32" s="199" t="s">
        <v>409</v>
      </c>
      <c r="E32" s="196">
        <f>C32</f>
        <v>3.6</v>
      </c>
      <c r="J32" s="164">
        <v>3.6</v>
      </c>
      <c r="K32" s="197" t="s">
        <v>386</v>
      </c>
    </row>
    <row r="33" spans="1:11" ht="65.25" customHeight="1" thickBot="1">
      <c r="A33" s="191">
        <v>11</v>
      </c>
      <c r="B33" s="159" t="s">
        <v>349</v>
      </c>
      <c r="C33" s="195">
        <v>0</v>
      </c>
      <c r="D33" s="157"/>
      <c r="E33" s="196">
        <f>C33</f>
        <v>0</v>
      </c>
      <c r="J33" s="167">
        <v>0</v>
      </c>
      <c r="K33" s="197"/>
    </row>
    <row r="34" spans="1:11" ht="24" customHeight="1" thickBot="1">
      <c r="A34" s="205"/>
      <c r="B34" s="206" t="s">
        <v>387</v>
      </c>
      <c r="C34" s="207">
        <f>SUM(C21:C33)</f>
        <v>2055.56984</v>
      </c>
      <c r="D34" s="208" t="s">
        <v>356</v>
      </c>
      <c r="E34" s="193" t="e">
        <f>E21+E22+E23+E24+E29+E30+#REF!+E31+E32+#REF!+E33</f>
        <v>#REF!</v>
      </c>
      <c r="F34" s="141" t="e">
        <f>E34/G34</f>
        <v>#REF!</v>
      </c>
      <c r="G34" s="141">
        <f>3699.2+3449.68</f>
        <v>7148.879999999999</v>
      </c>
      <c r="H34" s="141" t="e">
        <f>3699.2*F34</f>
        <v>#REF!</v>
      </c>
      <c r="I34" s="141" t="e">
        <f>E34-H34</f>
        <v>#REF!</v>
      </c>
      <c r="J34" s="207">
        <f>J23+J24+J29+J30+J31+J32+J33</f>
        <v>419.345632</v>
      </c>
      <c r="K34" s="178"/>
    </row>
    <row r="35" spans="1:4" ht="15">
      <c r="A35" s="209"/>
      <c r="B35" s="209"/>
      <c r="C35" s="143"/>
      <c r="D35" s="143"/>
    </row>
    <row r="36" spans="1:4" ht="15">
      <c r="A36" s="209"/>
      <c r="B36" s="209" t="s">
        <v>388</v>
      </c>
      <c r="C36" s="143"/>
      <c r="D36" s="143"/>
    </row>
    <row r="37" spans="1:4" ht="15">
      <c r="A37" s="209"/>
      <c r="B37" s="209" t="s">
        <v>389</v>
      </c>
      <c r="C37" s="210">
        <f>'[1]ТЭ с расшифровкой ОР'!I110</f>
        <v>2589.957135135137</v>
      </c>
      <c r="D37" s="211"/>
    </row>
    <row r="38" spans="1:4" ht="15">
      <c r="A38" s="209"/>
      <c r="B38" s="209" t="s">
        <v>390</v>
      </c>
      <c r="C38" s="210">
        <f>'[2]ТЭ'!$I$109</f>
        <v>3340.648673187793</v>
      </c>
      <c r="D38" s="211"/>
    </row>
    <row r="39" spans="1:4" ht="15">
      <c r="A39" s="209"/>
      <c r="B39" s="209" t="s">
        <v>391</v>
      </c>
      <c r="C39" s="210">
        <f>'[3]штатное расписание '!$L$115</f>
        <v>102.73161599999997</v>
      </c>
      <c r="D39" s="211"/>
    </row>
    <row r="40" spans="1:4" ht="15">
      <c r="A40" s="209"/>
      <c r="B40" s="209" t="s">
        <v>392</v>
      </c>
      <c r="C40" s="210">
        <f>'[3]штатное расписание '!$L$113</f>
        <v>55.47507264</v>
      </c>
      <c r="D40" s="211"/>
    </row>
    <row r="41" spans="1:4" ht="15">
      <c r="A41" s="209"/>
      <c r="B41" s="209" t="s">
        <v>393</v>
      </c>
      <c r="C41" s="210">
        <f>SUM(C37:C40)</f>
        <v>6088.81249696293</v>
      </c>
      <c r="D41" s="212"/>
    </row>
    <row r="43" spans="2:4" ht="15">
      <c r="B43" s="209" t="s">
        <v>394</v>
      </c>
      <c r="C43">
        <v>1835.5</v>
      </c>
      <c r="D43" s="213">
        <f>D47/C47*C43</f>
        <v>120.56654932347551</v>
      </c>
    </row>
    <row r="44" spans="2:4" ht="15">
      <c r="B44" s="209" t="s">
        <v>395</v>
      </c>
      <c r="C44">
        <v>1207.1</v>
      </c>
      <c r="D44" s="213">
        <f>D47/C47*C44</f>
        <v>79.28950241806989</v>
      </c>
    </row>
    <row r="45" spans="2:10" ht="15">
      <c r="B45" s="209" t="s">
        <v>396</v>
      </c>
      <c r="C45">
        <v>3341.5</v>
      </c>
      <c r="D45" s="213">
        <f>D47/C47*C45</f>
        <v>219.4895802584546</v>
      </c>
      <c r="J45" s="193">
        <f>D44+D45</f>
        <v>298.77908267652447</v>
      </c>
    </row>
    <row r="46" ht="15">
      <c r="J46" s="193"/>
    </row>
    <row r="47" spans="2:4" ht="15">
      <c r="B47" s="209" t="s">
        <v>397</v>
      </c>
      <c r="C47" s="213">
        <f>SUM(C43:C46)</f>
        <v>6384.1</v>
      </c>
      <c r="D47" s="196">
        <f>J34</f>
        <v>419.345632</v>
      </c>
    </row>
    <row r="48" spans="2:4" ht="15">
      <c r="B48" s="209"/>
      <c r="D48" s="213"/>
    </row>
  </sheetData>
  <sheetProtection/>
  <mergeCells count="7">
    <mergeCell ref="D21:D22"/>
    <mergeCell ref="A1:D1"/>
    <mergeCell ref="B3:K3"/>
    <mergeCell ref="C4:D4"/>
    <mergeCell ref="B15:D15"/>
    <mergeCell ref="B18:D18"/>
    <mergeCell ref="C20:D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2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25.140625" style="0" customWidth="1"/>
  </cols>
  <sheetData>
    <row r="3" spans="1:13" ht="30">
      <c r="A3" s="125" t="s">
        <v>284</v>
      </c>
      <c r="B3" s="128" t="s">
        <v>285</v>
      </c>
      <c r="C3" s="128" t="s">
        <v>286</v>
      </c>
      <c r="D3" s="128" t="s">
        <v>287</v>
      </c>
      <c r="E3" s="128" t="s">
        <v>288</v>
      </c>
      <c r="F3" s="128" t="s">
        <v>289</v>
      </c>
      <c r="G3" s="128" t="s">
        <v>290</v>
      </c>
      <c r="H3" s="128" t="s">
        <v>291</v>
      </c>
      <c r="I3" s="130" t="s">
        <v>283</v>
      </c>
      <c r="J3" s="128" t="s">
        <v>292</v>
      </c>
      <c r="K3" s="128" t="s">
        <v>293</v>
      </c>
      <c r="L3" s="132" t="s">
        <v>294</v>
      </c>
      <c r="M3" s="132" t="s">
        <v>295</v>
      </c>
    </row>
    <row r="4" spans="1:13" ht="15">
      <c r="A4" s="125" t="s">
        <v>296</v>
      </c>
      <c r="B4" s="125">
        <v>0.3</v>
      </c>
      <c r="C4" s="125">
        <v>17160</v>
      </c>
      <c r="D4" s="125">
        <f>C4*B4</f>
        <v>5148</v>
      </c>
      <c r="E4" s="125"/>
      <c r="F4" s="125"/>
      <c r="G4" s="125"/>
      <c r="H4" s="125"/>
      <c r="I4" s="131">
        <f aca="true" t="shared" si="0" ref="I4:I9">SUM(D4:H4)</f>
        <v>5148</v>
      </c>
      <c r="J4" s="125">
        <f aca="true" t="shared" si="1" ref="J4:J9">D4*30%</f>
        <v>1544.3999999999999</v>
      </c>
      <c r="K4" s="125">
        <f aca="true" t="shared" si="2" ref="K4:K9">I4*30%</f>
        <v>1544.3999999999999</v>
      </c>
      <c r="L4" s="129">
        <f aca="true" t="shared" si="3" ref="L4:L9">SUM(I4:K4)</f>
        <v>8236.8</v>
      </c>
      <c r="M4" s="129">
        <f aca="true" t="shared" si="4" ref="M4:M9">L4*12</f>
        <v>98841.59999999999</v>
      </c>
    </row>
    <row r="5" spans="1:13" ht="15">
      <c r="A5" s="125" t="s">
        <v>297</v>
      </c>
      <c r="B5" s="125">
        <v>4</v>
      </c>
      <c r="C5" s="125">
        <v>65.53</v>
      </c>
      <c r="D5" s="125">
        <v>47184.66</v>
      </c>
      <c r="E5" s="125"/>
      <c r="F5" s="230">
        <f>D5*4%</f>
        <v>1887.3864</v>
      </c>
      <c r="G5" s="125">
        <v>1572.82</v>
      </c>
      <c r="H5" s="125">
        <v>3189.33</v>
      </c>
      <c r="I5" s="131">
        <f t="shared" si="0"/>
        <v>53834.19640000001</v>
      </c>
      <c r="J5" s="125">
        <f t="shared" si="1"/>
        <v>14155.398000000001</v>
      </c>
      <c r="K5" s="125">
        <f t="shared" si="2"/>
        <v>16150.258920000002</v>
      </c>
      <c r="L5" s="129">
        <f t="shared" si="3"/>
        <v>84139.85332000001</v>
      </c>
      <c r="M5" s="129">
        <f t="shared" si="4"/>
        <v>1009678.2398400002</v>
      </c>
    </row>
    <row r="6" spans="1:13" ht="15">
      <c r="A6" s="125" t="s">
        <v>298</v>
      </c>
      <c r="B6" s="125">
        <v>2</v>
      </c>
      <c r="C6" s="125">
        <v>59.84</v>
      </c>
      <c r="D6" s="125">
        <v>21540.82</v>
      </c>
      <c r="E6" s="125"/>
      <c r="F6" s="230">
        <f>D6*4%</f>
        <v>861.6328</v>
      </c>
      <c r="G6" s="125">
        <v>1436.05</v>
      </c>
      <c r="H6" s="125">
        <v>2912</v>
      </c>
      <c r="I6" s="131">
        <f t="shared" si="0"/>
        <v>26750.5028</v>
      </c>
      <c r="J6" s="125">
        <f t="shared" si="1"/>
        <v>6462.246</v>
      </c>
      <c r="K6" s="125">
        <f t="shared" si="2"/>
        <v>8025.150839999999</v>
      </c>
      <c r="L6" s="129">
        <f t="shared" si="3"/>
        <v>41237.89964</v>
      </c>
      <c r="M6" s="129">
        <f t="shared" si="4"/>
        <v>494854.79568000004</v>
      </c>
    </row>
    <row r="7" spans="1:13" ht="15">
      <c r="A7" s="125" t="s">
        <v>299</v>
      </c>
      <c r="B7" s="125">
        <v>3</v>
      </c>
      <c r="C7" s="125">
        <v>45.76</v>
      </c>
      <c r="D7" s="125">
        <v>24709.81</v>
      </c>
      <c r="E7" s="125"/>
      <c r="F7" s="230"/>
      <c r="G7" s="125"/>
      <c r="H7" s="125"/>
      <c r="I7" s="131">
        <f t="shared" si="0"/>
        <v>24709.81</v>
      </c>
      <c r="J7" s="125">
        <f t="shared" si="1"/>
        <v>7412.943</v>
      </c>
      <c r="K7" s="125">
        <f t="shared" si="2"/>
        <v>7412.943</v>
      </c>
      <c r="L7" s="129">
        <f t="shared" si="3"/>
        <v>39535.696</v>
      </c>
      <c r="M7" s="129">
        <f t="shared" si="4"/>
        <v>474428.3520000001</v>
      </c>
    </row>
    <row r="8" spans="1:13" ht="15">
      <c r="A8" s="127" t="s">
        <v>300</v>
      </c>
      <c r="B8" s="125">
        <v>0.1</v>
      </c>
      <c r="C8" s="125">
        <v>65.53</v>
      </c>
      <c r="D8" s="125">
        <v>1179.62</v>
      </c>
      <c r="E8" s="125"/>
      <c r="F8" s="230">
        <f>D8*4%</f>
        <v>47.184799999999996</v>
      </c>
      <c r="G8" s="125"/>
      <c r="H8" s="125"/>
      <c r="I8" s="131">
        <f t="shared" si="0"/>
        <v>1226.8048</v>
      </c>
      <c r="J8" s="125">
        <f t="shared" si="1"/>
        <v>353.88599999999997</v>
      </c>
      <c r="K8" s="125">
        <f t="shared" si="2"/>
        <v>368.04143999999997</v>
      </c>
      <c r="L8" s="129">
        <f t="shared" si="3"/>
        <v>1948.7322399999998</v>
      </c>
      <c r="M8" s="129">
        <f t="shared" si="4"/>
        <v>23384.78688</v>
      </c>
    </row>
    <row r="9" spans="1:13" ht="15">
      <c r="A9" s="127" t="s">
        <v>301</v>
      </c>
      <c r="B9" s="125">
        <v>0.1</v>
      </c>
      <c r="C9" s="125">
        <v>47.49</v>
      </c>
      <c r="D9" s="125">
        <v>854.8</v>
      </c>
      <c r="E9" s="125"/>
      <c r="F9" s="125"/>
      <c r="G9" s="125"/>
      <c r="H9" s="125"/>
      <c r="I9" s="131">
        <f t="shared" si="0"/>
        <v>854.8</v>
      </c>
      <c r="J9" s="125">
        <f t="shared" si="1"/>
        <v>256.44</v>
      </c>
      <c r="K9" s="125">
        <f t="shared" si="2"/>
        <v>256.44</v>
      </c>
      <c r="L9" s="129">
        <f t="shared" si="3"/>
        <v>1367.68</v>
      </c>
      <c r="M9" s="129">
        <f t="shared" si="4"/>
        <v>16412.16</v>
      </c>
    </row>
    <row r="10" spans="1:14" ht="15">
      <c r="A10" s="127" t="s">
        <v>283</v>
      </c>
      <c r="B10" s="125">
        <f>SUM(B4:B9)</f>
        <v>9.5</v>
      </c>
      <c r="C10" s="125"/>
      <c r="D10" s="125">
        <f>SUM(D4:D9)</f>
        <v>100617.71</v>
      </c>
      <c r="E10" s="125">
        <f aca="true" t="shared" si="5" ref="E10:M10">SUM(E4:E9)</f>
        <v>0</v>
      </c>
      <c r="F10" s="125">
        <f t="shared" si="5"/>
        <v>2796.204</v>
      </c>
      <c r="G10" s="125">
        <f t="shared" si="5"/>
        <v>3008.87</v>
      </c>
      <c r="H10" s="125">
        <f t="shared" si="5"/>
        <v>6101.33</v>
      </c>
      <c r="I10" s="125">
        <f t="shared" si="5"/>
        <v>112524.114</v>
      </c>
      <c r="J10" s="125">
        <f t="shared" si="5"/>
        <v>30185.313</v>
      </c>
      <c r="K10" s="125">
        <f t="shared" si="5"/>
        <v>33757.234200000006</v>
      </c>
      <c r="L10" s="125">
        <f t="shared" si="5"/>
        <v>176466.6612</v>
      </c>
      <c r="M10" s="125">
        <f t="shared" si="5"/>
        <v>2117599.9344000006</v>
      </c>
      <c r="N10" s="126">
        <f>SUM(M5:M9)</f>
        <v>2018758.3344000003</v>
      </c>
    </row>
    <row r="13" spans="1:8" ht="30">
      <c r="A13" s="214" t="s">
        <v>284</v>
      </c>
      <c r="B13" s="128" t="s">
        <v>285</v>
      </c>
      <c r="C13" s="128" t="s">
        <v>286</v>
      </c>
      <c r="D13" s="128" t="s">
        <v>287</v>
      </c>
      <c r="E13" s="128" t="s">
        <v>292</v>
      </c>
      <c r="F13" s="128" t="s">
        <v>293</v>
      </c>
      <c r="G13" s="132" t="s">
        <v>294</v>
      </c>
      <c r="H13" s="132" t="s">
        <v>295</v>
      </c>
    </row>
    <row r="14" spans="1:8" ht="15">
      <c r="A14" s="125" t="s">
        <v>398</v>
      </c>
      <c r="B14" s="125">
        <v>0.25</v>
      </c>
      <c r="C14" s="125">
        <v>24960</v>
      </c>
      <c r="D14" s="125">
        <f>C14*B14</f>
        <v>6240</v>
      </c>
      <c r="E14" s="125">
        <f>D14*30/100</f>
        <v>1872</v>
      </c>
      <c r="F14" s="125">
        <f>D14*30/100</f>
        <v>1872</v>
      </c>
      <c r="G14" s="125">
        <f>SUM(D14:F14)</f>
        <v>9984</v>
      </c>
      <c r="H14" s="125">
        <f>G14*12</f>
        <v>119808</v>
      </c>
    </row>
    <row r="15" spans="1:8" ht="15">
      <c r="A15" s="125" t="s">
        <v>399</v>
      </c>
      <c r="B15" s="125">
        <v>0.25</v>
      </c>
      <c r="C15" s="125">
        <v>22230</v>
      </c>
      <c r="D15" s="125">
        <f aca="true" t="shared" si="6" ref="D15:D21">C15*B15</f>
        <v>5557.5</v>
      </c>
      <c r="E15" s="125">
        <f aca="true" t="shared" si="7" ref="E15:E21">D15*30/100</f>
        <v>1667.25</v>
      </c>
      <c r="F15" s="125">
        <f aca="true" t="shared" si="8" ref="F15:F21">D15*30/100</f>
        <v>1667.25</v>
      </c>
      <c r="G15" s="125">
        <f aca="true" t="shared" si="9" ref="G15:G21">SUM(D15:F15)</f>
        <v>8892</v>
      </c>
      <c r="H15" s="125">
        <f aca="true" t="shared" si="10" ref="H15:H21">G15*12</f>
        <v>106704</v>
      </c>
    </row>
    <row r="16" spans="1:8" ht="15">
      <c r="A16" s="125" t="s">
        <v>400</v>
      </c>
      <c r="B16" s="125">
        <v>0.25</v>
      </c>
      <c r="C16" s="125">
        <v>22230</v>
      </c>
      <c r="D16" s="125">
        <f t="shared" si="6"/>
        <v>5557.5</v>
      </c>
      <c r="E16" s="125">
        <f t="shared" si="7"/>
        <v>1667.25</v>
      </c>
      <c r="F16" s="125">
        <f t="shared" si="8"/>
        <v>1667.25</v>
      </c>
      <c r="G16" s="125">
        <f t="shared" si="9"/>
        <v>8892</v>
      </c>
      <c r="H16" s="125">
        <f t="shared" si="10"/>
        <v>106704</v>
      </c>
    </row>
    <row r="17" spans="1:8" ht="15">
      <c r="A17" s="125" t="s">
        <v>401</v>
      </c>
      <c r="B17" s="125">
        <v>0.25</v>
      </c>
      <c r="C17" s="125">
        <v>20670</v>
      </c>
      <c r="D17" s="125">
        <f t="shared" si="6"/>
        <v>5167.5</v>
      </c>
      <c r="E17" s="125">
        <f t="shared" si="7"/>
        <v>1550.25</v>
      </c>
      <c r="F17" s="125">
        <f t="shared" si="8"/>
        <v>1550.25</v>
      </c>
      <c r="G17" s="125">
        <f t="shared" si="9"/>
        <v>8268</v>
      </c>
      <c r="H17" s="125">
        <f t="shared" si="10"/>
        <v>99216</v>
      </c>
    </row>
    <row r="18" spans="1:8" ht="15">
      <c r="A18" s="125" t="s">
        <v>402</v>
      </c>
      <c r="B18" s="125">
        <v>0.2</v>
      </c>
      <c r="C18" s="125">
        <v>18330</v>
      </c>
      <c r="D18" s="125">
        <f t="shared" si="6"/>
        <v>3666</v>
      </c>
      <c r="E18" s="125">
        <f t="shared" si="7"/>
        <v>1099.8</v>
      </c>
      <c r="F18" s="125">
        <f t="shared" si="8"/>
        <v>1099.8</v>
      </c>
      <c r="G18" s="125">
        <f t="shared" si="9"/>
        <v>5865.6</v>
      </c>
      <c r="H18" s="125">
        <f t="shared" si="10"/>
        <v>70387.20000000001</v>
      </c>
    </row>
    <row r="19" spans="1:8" ht="15">
      <c r="A19" s="125" t="s">
        <v>403</v>
      </c>
      <c r="B19" s="125">
        <v>0.2</v>
      </c>
      <c r="C19" s="125">
        <v>17160</v>
      </c>
      <c r="D19" s="125">
        <f t="shared" si="6"/>
        <v>3432</v>
      </c>
      <c r="E19" s="125">
        <f t="shared" si="7"/>
        <v>1029.6</v>
      </c>
      <c r="F19" s="125">
        <f t="shared" si="8"/>
        <v>1029.6</v>
      </c>
      <c r="G19" s="125">
        <f t="shared" si="9"/>
        <v>5491.200000000001</v>
      </c>
      <c r="H19" s="125">
        <f t="shared" si="10"/>
        <v>65894.40000000001</v>
      </c>
    </row>
    <row r="20" spans="1:9" ht="15">
      <c r="A20" s="127" t="s">
        <v>404</v>
      </c>
      <c r="B20" s="125">
        <v>0.2</v>
      </c>
      <c r="C20" s="125">
        <v>17160</v>
      </c>
      <c r="D20" s="125">
        <f t="shared" si="6"/>
        <v>3432</v>
      </c>
      <c r="E20" s="125">
        <f t="shared" si="7"/>
        <v>1029.6</v>
      </c>
      <c r="F20" s="125">
        <f t="shared" si="8"/>
        <v>1029.6</v>
      </c>
      <c r="G20" s="125">
        <f t="shared" si="9"/>
        <v>5491.200000000001</v>
      </c>
      <c r="H20" s="125">
        <f t="shared" si="10"/>
        <v>65894.40000000001</v>
      </c>
      <c r="I20">
        <f>SUM(H14:H20)</f>
        <v>634608</v>
      </c>
    </row>
    <row r="21" spans="1:8" ht="15">
      <c r="A21" s="127" t="s">
        <v>405</v>
      </c>
      <c r="B21" s="125">
        <v>0.2</v>
      </c>
      <c r="C21" s="125">
        <v>13650</v>
      </c>
      <c r="D21" s="125">
        <f t="shared" si="6"/>
        <v>2730</v>
      </c>
      <c r="E21" s="125">
        <f t="shared" si="7"/>
        <v>819</v>
      </c>
      <c r="F21" s="125">
        <f t="shared" si="8"/>
        <v>819</v>
      </c>
      <c r="G21" s="125">
        <f t="shared" si="9"/>
        <v>4368</v>
      </c>
      <c r="H21" s="125">
        <f t="shared" si="10"/>
        <v>52416</v>
      </c>
    </row>
    <row r="22" spans="1:8" ht="15">
      <c r="A22" s="125" t="s">
        <v>406</v>
      </c>
      <c r="B22" s="125">
        <f>SUM(B14:B21)</f>
        <v>1.7999999999999998</v>
      </c>
      <c r="C22" s="125">
        <f aca="true" t="shared" si="11" ref="C22:H22">SUM(C14:C21)</f>
        <v>156390</v>
      </c>
      <c r="D22" s="125">
        <f t="shared" si="11"/>
        <v>35782.5</v>
      </c>
      <c r="E22" s="125">
        <f t="shared" si="11"/>
        <v>10734.75</v>
      </c>
      <c r="F22" s="125">
        <f t="shared" si="11"/>
        <v>10734.75</v>
      </c>
      <c r="G22" s="125">
        <f t="shared" si="11"/>
        <v>57252</v>
      </c>
      <c r="H22" s="125">
        <f t="shared" si="11"/>
        <v>687024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55"/>
  <sheetViews>
    <sheetView zoomScalePageLayoutView="0" workbookViewId="0" topLeftCell="A4">
      <pane xSplit="2" ySplit="1" topLeftCell="C54" activePane="bottomRight" state="frozen"/>
      <selection pane="topLeft" activeCell="A4" sqref="A4"/>
      <selection pane="topRight" activeCell="C4" sqref="C4"/>
      <selection pane="bottomLeft" activeCell="A5" sqref="A5"/>
      <selection pane="bottomRight" activeCell="H55" sqref="H55"/>
    </sheetView>
  </sheetViews>
  <sheetFormatPr defaultColWidth="9.140625" defaultRowHeight="15"/>
  <cols>
    <col min="1" max="1" width="22.28125" style="135" customWidth="1"/>
    <col min="2" max="2" width="9.140625" style="135" customWidth="1"/>
    <col min="3" max="3" width="19.00390625" style="135" customWidth="1"/>
    <col min="4" max="7" width="9.140625" style="135" customWidth="1"/>
    <col min="8" max="8" width="10.57421875" style="135" bestFit="1" customWidth="1"/>
    <col min="9" max="9" width="9.57421875" style="135" bestFit="1" customWidth="1"/>
    <col min="10" max="16384" width="9.140625" style="135" customWidth="1"/>
  </cols>
  <sheetData>
    <row r="4" spans="1:8" ht="75.75" thickBot="1">
      <c r="A4" s="133" t="s">
        <v>284</v>
      </c>
      <c r="B4" s="134" t="s">
        <v>285</v>
      </c>
      <c r="C4" s="133" t="s">
        <v>302</v>
      </c>
      <c r="D4" s="133" t="s">
        <v>303</v>
      </c>
      <c r="E4" s="133" t="s">
        <v>304</v>
      </c>
      <c r="F4" s="133" t="s">
        <v>305</v>
      </c>
      <c r="G4" s="133" t="s">
        <v>306</v>
      </c>
      <c r="H4" s="133" t="s">
        <v>307</v>
      </c>
    </row>
    <row r="5" spans="1:8" ht="45.75" thickBot="1">
      <c r="A5" s="308" t="s">
        <v>296</v>
      </c>
      <c r="B5" s="311">
        <v>0.3</v>
      </c>
      <c r="C5" s="136" t="s">
        <v>308</v>
      </c>
      <c r="D5" s="136">
        <v>12</v>
      </c>
      <c r="E5" s="136">
        <v>0.3</v>
      </c>
      <c r="F5" s="136">
        <f>G5*1.2</f>
        <v>1142.7</v>
      </c>
      <c r="G5" s="136">
        <v>952.25</v>
      </c>
      <c r="H5" s="229">
        <f>E5*G5</f>
        <v>285.675</v>
      </c>
    </row>
    <row r="6" spans="1:8" ht="15.75" thickBot="1">
      <c r="A6" s="309"/>
      <c r="B6" s="312"/>
      <c r="C6" s="137" t="s">
        <v>311</v>
      </c>
      <c r="D6" s="137">
        <v>12</v>
      </c>
      <c r="E6" s="137">
        <v>0.3</v>
      </c>
      <c r="F6" s="136">
        <f aca="true" t="shared" si="0" ref="F6:F54">G6*1.2</f>
        <v>1758.252</v>
      </c>
      <c r="G6" s="137">
        <v>1465.21</v>
      </c>
      <c r="H6" s="229">
        <f aca="true" t="shared" si="1" ref="H6:H11">E6*G6</f>
        <v>439.563</v>
      </c>
    </row>
    <row r="7" spans="1:8" ht="15.75" thickBot="1">
      <c r="A7" s="309"/>
      <c r="B7" s="312"/>
      <c r="C7" s="137" t="s">
        <v>312</v>
      </c>
      <c r="D7" s="137">
        <v>12</v>
      </c>
      <c r="E7" s="137">
        <v>0.3</v>
      </c>
      <c r="F7" s="136">
        <f t="shared" si="0"/>
        <v>433.67999999999995</v>
      </c>
      <c r="G7" s="137">
        <v>361.4</v>
      </c>
      <c r="H7" s="229">
        <f t="shared" si="1"/>
        <v>108.41999999999999</v>
      </c>
    </row>
    <row r="8" spans="1:8" ht="30.75" thickBot="1">
      <c r="A8" s="309"/>
      <c r="B8" s="312"/>
      <c r="C8" s="137" t="s">
        <v>313</v>
      </c>
      <c r="D8" s="137">
        <v>2</v>
      </c>
      <c r="E8" s="137">
        <v>1</v>
      </c>
      <c r="F8" s="136">
        <f t="shared" si="0"/>
        <v>46.583999999999996</v>
      </c>
      <c r="G8" s="137">
        <v>38.82</v>
      </c>
      <c r="H8" s="229">
        <f t="shared" si="1"/>
        <v>38.82</v>
      </c>
    </row>
    <row r="9" spans="1:8" ht="45.75" thickBot="1">
      <c r="A9" s="309"/>
      <c r="B9" s="312"/>
      <c r="C9" s="137" t="s">
        <v>315</v>
      </c>
      <c r="D9" s="137">
        <v>24</v>
      </c>
      <c r="E9" s="137">
        <v>0.15</v>
      </c>
      <c r="F9" s="136">
        <f t="shared" si="0"/>
        <v>3036.5399999999995</v>
      </c>
      <c r="G9" s="137">
        <v>2530.45</v>
      </c>
      <c r="H9" s="229">
        <f t="shared" si="1"/>
        <v>379.56749999999994</v>
      </c>
    </row>
    <row r="10" spans="1:9" ht="30.75" thickBot="1">
      <c r="A10" s="309"/>
      <c r="B10" s="312"/>
      <c r="C10" s="137" t="s">
        <v>316</v>
      </c>
      <c r="D10" s="137">
        <v>30</v>
      </c>
      <c r="E10" s="137">
        <v>0.1</v>
      </c>
      <c r="F10" s="136">
        <f t="shared" si="0"/>
        <v>1951.9560000000001</v>
      </c>
      <c r="G10" s="137">
        <v>1626.63</v>
      </c>
      <c r="H10" s="229">
        <f t="shared" si="1"/>
        <v>162.663</v>
      </c>
      <c r="I10" s="135">
        <f>SUM(H5:H10)</f>
        <v>1414.7085</v>
      </c>
    </row>
    <row r="11" spans="1:8" ht="30" customHeight="1" thickBot="1">
      <c r="A11" s="308" t="s">
        <v>297</v>
      </c>
      <c r="B11" s="311">
        <v>4</v>
      </c>
      <c r="C11" s="136" t="s">
        <v>308</v>
      </c>
      <c r="D11" s="136">
        <v>12</v>
      </c>
      <c r="E11" s="136">
        <v>4</v>
      </c>
      <c r="F11" s="136">
        <f t="shared" si="0"/>
        <v>1142.7</v>
      </c>
      <c r="G11" s="136">
        <v>952.25</v>
      </c>
      <c r="H11" s="229">
        <f t="shared" si="1"/>
        <v>3809</v>
      </c>
    </row>
    <row r="12" spans="1:8" ht="30.75" thickBot="1">
      <c r="A12" s="309"/>
      <c r="B12" s="312"/>
      <c r="C12" s="137" t="s">
        <v>309</v>
      </c>
      <c r="D12" s="137">
        <v>12</v>
      </c>
      <c r="E12" s="137">
        <v>4</v>
      </c>
      <c r="F12" s="136">
        <f t="shared" si="0"/>
        <v>693.42</v>
      </c>
      <c r="G12" s="137">
        <v>577.85</v>
      </c>
      <c r="H12" s="229">
        <f aca="true" t="shared" si="2" ref="H12:H54">E12*G12</f>
        <v>2311.4</v>
      </c>
    </row>
    <row r="13" spans="1:8" ht="15.75" thickBot="1">
      <c r="A13" s="309"/>
      <c r="B13" s="312"/>
      <c r="C13" s="137" t="s">
        <v>310</v>
      </c>
      <c r="D13" s="137">
        <v>24</v>
      </c>
      <c r="E13" s="137">
        <v>2</v>
      </c>
      <c r="F13" s="136">
        <f t="shared" si="0"/>
        <v>326.82</v>
      </c>
      <c r="G13" s="137">
        <v>272.35</v>
      </c>
      <c r="H13" s="229">
        <f t="shared" si="2"/>
        <v>544.7</v>
      </c>
    </row>
    <row r="14" spans="1:8" ht="15.75" thickBot="1">
      <c r="A14" s="309"/>
      <c r="B14" s="312"/>
      <c r="C14" s="137" t="s">
        <v>311</v>
      </c>
      <c r="D14" s="137">
        <v>12</v>
      </c>
      <c r="E14" s="137">
        <v>4</v>
      </c>
      <c r="F14" s="136">
        <f t="shared" si="0"/>
        <v>1758.252</v>
      </c>
      <c r="G14" s="137">
        <v>1465.21</v>
      </c>
      <c r="H14" s="229">
        <f t="shared" si="2"/>
        <v>5860.84</v>
      </c>
    </row>
    <row r="15" spans="1:8" ht="15.75" thickBot="1">
      <c r="A15" s="309"/>
      <c r="B15" s="312"/>
      <c r="C15" s="137" t="s">
        <v>312</v>
      </c>
      <c r="D15" s="137">
        <v>12</v>
      </c>
      <c r="E15" s="137">
        <v>4</v>
      </c>
      <c r="F15" s="136">
        <f t="shared" si="0"/>
        <v>433.67999999999995</v>
      </c>
      <c r="G15" s="137">
        <v>361.4</v>
      </c>
      <c r="H15" s="229">
        <f t="shared" si="2"/>
        <v>1445.6</v>
      </c>
    </row>
    <row r="16" spans="1:8" ht="30.75" thickBot="1">
      <c r="A16" s="309"/>
      <c r="B16" s="312"/>
      <c r="C16" s="137" t="s">
        <v>313</v>
      </c>
      <c r="D16" s="137">
        <v>2</v>
      </c>
      <c r="E16" s="137">
        <v>24</v>
      </c>
      <c r="F16" s="136">
        <f t="shared" si="0"/>
        <v>46.583999999999996</v>
      </c>
      <c r="G16" s="137">
        <v>38.82</v>
      </c>
      <c r="H16" s="229">
        <f t="shared" si="2"/>
        <v>931.6800000000001</v>
      </c>
    </row>
    <row r="17" spans="1:8" ht="30.75" thickBot="1">
      <c r="A17" s="309"/>
      <c r="B17" s="312"/>
      <c r="C17" s="137" t="s">
        <v>314</v>
      </c>
      <c r="D17" s="137" t="s">
        <v>317</v>
      </c>
      <c r="E17" s="137">
        <v>4</v>
      </c>
      <c r="F17" s="136">
        <f t="shared" si="0"/>
        <v>48.456</v>
      </c>
      <c r="G17" s="137">
        <v>40.38</v>
      </c>
      <c r="H17" s="229">
        <f t="shared" si="2"/>
        <v>161.52</v>
      </c>
    </row>
    <row r="18" spans="1:8" ht="45.75" thickBot="1">
      <c r="A18" s="309"/>
      <c r="B18" s="312"/>
      <c r="C18" s="137" t="s">
        <v>315</v>
      </c>
      <c r="D18" s="137">
        <v>24</v>
      </c>
      <c r="E18" s="137">
        <v>2</v>
      </c>
      <c r="F18" s="136">
        <f t="shared" si="0"/>
        <v>3036.5399999999995</v>
      </c>
      <c r="G18" s="137">
        <v>2530.45</v>
      </c>
      <c r="H18" s="229">
        <f t="shared" si="2"/>
        <v>5060.9</v>
      </c>
    </row>
    <row r="19" spans="1:8" ht="30.75" thickBot="1">
      <c r="A19" s="310"/>
      <c r="B19" s="313"/>
      <c r="C19" s="138" t="s">
        <v>316</v>
      </c>
      <c r="D19" s="138">
        <v>30</v>
      </c>
      <c r="E19" s="138">
        <v>2</v>
      </c>
      <c r="F19" s="136">
        <f t="shared" si="0"/>
        <v>1951.9560000000001</v>
      </c>
      <c r="G19" s="138">
        <v>1626.63</v>
      </c>
      <c r="H19" s="229">
        <f t="shared" si="2"/>
        <v>3253.26</v>
      </c>
    </row>
    <row r="20" spans="1:8" ht="45.75" thickBot="1">
      <c r="A20" s="308" t="s">
        <v>298</v>
      </c>
      <c r="B20" s="311">
        <v>2</v>
      </c>
      <c r="C20" s="136" t="s">
        <v>308</v>
      </c>
      <c r="D20" s="136">
        <v>12</v>
      </c>
      <c r="E20" s="136">
        <v>2</v>
      </c>
      <c r="F20" s="136">
        <f t="shared" si="0"/>
        <v>1142.7</v>
      </c>
      <c r="G20" s="136">
        <v>952.25</v>
      </c>
      <c r="H20" s="229">
        <f t="shared" si="2"/>
        <v>1904.5</v>
      </c>
    </row>
    <row r="21" spans="1:8" ht="30.75" thickBot="1">
      <c r="A21" s="309"/>
      <c r="B21" s="312"/>
      <c r="C21" s="137" t="s">
        <v>309</v>
      </c>
      <c r="D21" s="137">
        <v>12</v>
      </c>
      <c r="E21" s="137">
        <v>1</v>
      </c>
      <c r="F21" s="136">
        <f t="shared" si="0"/>
        <v>693.42</v>
      </c>
      <c r="G21" s="137">
        <v>577.85</v>
      </c>
      <c r="H21" s="229">
        <f t="shared" si="2"/>
        <v>577.85</v>
      </c>
    </row>
    <row r="22" spans="1:8" ht="15.75" thickBot="1">
      <c r="A22" s="309"/>
      <c r="B22" s="312"/>
      <c r="C22" s="137" t="s">
        <v>310</v>
      </c>
      <c r="D22" s="137">
        <v>24</v>
      </c>
      <c r="E22" s="137">
        <v>1</v>
      </c>
      <c r="F22" s="136">
        <f t="shared" si="0"/>
        <v>326.82</v>
      </c>
      <c r="G22" s="137">
        <v>272.35</v>
      </c>
      <c r="H22" s="229">
        <f t="shared" si="2"/>
        <v>272.35</v>
      </c>
    </row>
    <row r="23" spans="1:8" ht="15.75" thickBot="1">
      <c r="A23" s="309"/>
      <c r="B23" s="312"/>
      <c r="C23" s="137" t="s">
        <v>311</v>
      </c>
      <c r="D23" s="137">
        <v>12</v>
      </c>
      <c r="E23" s="137">
        <v>2</v>
      </c>
      <c r="F23" s="136">
        <f t="shared" si="0"/>
        <v>1758.252</v>
      </c>
      <c r="G23" s="137">
        <v>1465.21</v>
      </c>
      <c r="H23" s="229">
        <f t="shared" si="2"/>
        <v>2930.42</v>
      </c>
    </row>
    <row r="24" spans="1:8" ht="15.75" thickBot="1">
      <c r="A24" s="309"/>
      <c r="B24" s="312"/>
      <c r="C24" s="137" t="s">
        <v>312</v>
      </c>
      <c r="D24" s="137">
        <v>12</v>
      </c>
      <c r="E24" s="137">
        <v>2</v>
      </c>
      <c r="F24" s="136">
        <f t="shared" si="0"/>
        <v>433.67999999999995</v>
      </c>
      <c r="G24" s="137">
        <v>361.4</v>
      </c>
      <c r="H24" s="229">
        <f t="shared" si="2"/>
        <v>722.8</v>
      </c>
    </row>
    <row r="25" spans="1:8" ht="30.75" thickBot="1">
      <c r="A25" s="309"/>
      <c r="B25" s="312"/>
      <c r="C25" s="137" t="s">
        <v>313</v>
      </c>
      <c r="D25" s="137">
        <v>2</v>
      </c>
      <c r="E25" s="137">
        <v>24</v>
      </c>
      <c r="F25" s="136">
        <f t="shared" si="0"/>
        <v>46.583999999999996</v>
      </c>
      <c r="G25" s="137">
        <v>38.82</v>
      </c>
      <c r="H25" s="229">
        <f t="shared" si="2"/>
        <v>931.6800000000001</v>
      </c>
    </row>
    <row r="26" spans="1:8" ht="30.75" thickBot="1">
      <c r="A26" s="309"/>
      <c r="B26" s="312"/>
      <c r="C26" s="137" t="s">
        <v>314</v>
      </c>
      <c r="D26" s="137" t="s">
        <v>317</v>
      </c>
      <c r="E26" s="137">
        <v>2</v>
      </c>
      <c r="F26" s="136">
        <f t="shared" si="0"/>
        <v>48.456</v>
      </c>
      <c r="G26" s="137">
        <v>40.38</v>
      </c>
      <c r="H26" s="229">
        <f t="shared" si="2"/>
        <v>80.76</v>
      </c>
    </row>
    <row r="27" spans="1:8" ht="45.75" thickBot="1">
      <c r="A27" s="309"/>
      <c r="B27" s="312"/>
      <c r="C27" s="137" t="s">
        <v>315</v>
      </c>
      <c r="D27" s="137">
        <v>24</v>
      </c>
      <c r="E27" s="137">
        <v>1</v>
      </c>
      <c r="F27" s="136">
        <f t="shared" si="0"/>
        <v>3036.5399999999995</v>
      </c>
      <c r="G27" s="137">
        <v>2530.45</v>
      </c>
      <c r="H27" s="229">
        <f t="shared" si="2"/>
        <v>2530.45</v>
      </c>
    </row>
    <row r="28" spans="1:8" ht="30.75" thickBot="1">
      <c r="A28" s="310"/>
      <c r="B28" s="313"/>
      <c r="C28" s="138" t="s">
        <v>316</v>
      </c>
      <c r="D28" s="138">
        <v>30</v>
      </c>
      <c r="E28" s="138">
        <v>1</v>
      </c>
      <c r="F28" s="136">
        <f t="shared" si="0"/>
        <v>1951.9560000000001</v>
      </c>
      <c r="G28" s="138">
        <v>1626.63</v>
      </c>
      <c r="H28" s="229">
        <f t="shared" si="2"/>
        <v>1626.63</v>
      </c>
    </row>
    <row r="29" spans="1:8" ht="45.75" thickBot="1">
      <c r="A29" s="308" t="s">
        <v>299</v>
      </c>
      <c r="B29" s="311">
        <v>3</v>
      </c>
      <c r="C29" s="136" t="s">
        <v>318</v>
      </c>
      <c r="D29" s="136">
        <v>12</v>
      </c>
      <c r="E29" s="136">
        <v>3</v>
      </c>
      <c r="F29" s="136">
        <f t="shared" si="0"/>
        <v>557.6999999999999</v>
      </c>
      <c r="G29" s="136">
        <v>464.75</v>
      </c>
      <c r="H29" s="229">
        <f t="shared" si="2"/>
        <v>1394.25</v>
      </c>
    </row>
    <row r="30" spans="1:8" ht="30.75" thickBot="1">
      <c r="A30" s="309"/>
      <c r="B30" s="312"/>
      <c r="C30" s="137" t="s">
        <v>309</v>
      </c>
      <c r="D30" s="137">
        <v>36</v>
      </c>
      <c r="E30" s="137">
        <v>1</v>
      </c>
      <c r="F30" s="136">
        <f t="shared" si="0"/>
        <v>693.42</v>
      </c>
      <c r="G30" s="137">
        <v>577.85</v>
      </c>
      <c r="H30" s="229">
        <f t="shared" si="2"/>
        <v>577.85</v>
      </c>
    </row>
    <row r="31" spans="1:8" ht="15.75" thickBot="1">
      <c r="A31" s="309"/>
      <c r="B31" s="312"/>
      <c r="C31" s="137" t="s">
        <v>319</v>
      </c>
      <c r="D31" s="137">
        <v>12</v>
      </c>
      <c r="E31" s="137">
        <v>3</v>
      </c>
      <c r="F31" s="136">
        <f t="shared" si="0"/>
        <v>253.5</v>
      </c>
      <c r="G31" s="137">
        <v>211.25</v>
      </c>
      <c r="H31" s="229">
        <f t="shared" si="2"/>
        <v>633.75</v>
      </c>
    </row>
    <row r="32" spans="1:8" ht="15.75" thickBot="1">
      <c r="A32" s="309"/>
      <c r="B32" s="312"/>
      <c r="C32" s="137" t="s">
        <v>311</v>
      </c>
      <c r="D32" s="137">
        <v>12</v>
      </c>
      <c r="E32" s="137">
        <v>3</v>
      </c>
      <c r="F32" s="136">
        <f t="shared" si="0"/>
        <v>1758.252</v>
      </c>
      <c r="G32" s="137">
        <v>1465.21</v>
      </c>
      <c r="H32" s="229">
        <f t="shared" si="2"/>
        <v>4395.63</v>
      </c>
    </row>
    <row r="33" spans="1:8" ht="15.75" thickBot="1">
      <c r="A33" s="309"/>
      <c r="B33" s="312"/>
      <c r="C33" s="137" t="s">
        <v>312</v>
      </c>
      <c r="D33" s="137">
        <v>12</v>
      </c>
      <c r="E33" s="137">
        <v>3</v>
      </c>
      <c r="F33" s="136">
        <f t="shared" si="0"/>
        <v>433.67999999999995</v>
      </c>
      <c r="G33" s="137">
        <v>361.4</v>
      </c>
      <c r="H33" s="229">
        <f t="shared" si="2"/>
        <v>1084.1999999999998</v>
      </c>
    </row>
    <row r="34" spans="1:8" ht="30.75" thickBot="1">
      <c r="A34" s="309"/>
      <c r="B34" s="312"/>
      <c r="C34" s="137" t="s">
        <v>314</v>
      </c>
      <c r="D34" s="137">
        <v>2</v>
      </c>
      <c r="E34" s="137">
        <v>18</v>
      </c>
      <c r="F34" s="136">
        <f t="shared" si="0"/>
        <v>48.456</v>
      </c>
      <c r="G34" s="137">
        <v>40.38</v>
      </c>
      <c r="H34" s="229">
        <f t="shared" si="2"/>
        <v>726.84</v>
      </c>
    </row>
    <row r="35" spans="1:8" ht="45.75" thickBot="1">
      <c r="A35" s="309"/>
      <c r="B35" s="312"/>
      <c r="C35" s="137" t="s">
        <v>315</v>
      </c>
      <c r="D35" s="137">
        <v>24</v>
      </c>
      <c r="E35" s="137">
        <v>2</v>
      </c>
      <c r="F35" s="136">
        <f t="shared" si="0"/>
        <v>3036.5399999999995</v>
      </c>
      <c r="G35" s="137">
        <v>2530.45</v>
      </c>
      <c r="H35" s="229">
        <f t="shared" si="2"/>
        <v>5060.9</v>
      </c>
    </row>
    <row r="36" spans="1:8" ht="30.75" thickBot="1">
      <c r="A36" s="310"/>
      <c r="B36" s="313"/>
      <c r="C36" s="138" t="s">
        <v>320</v>
      </c>
      <c r="D36" s="138">
        <v>30</v>
      </c>
      <c r="E36" s="138">
        <v>1</v>
      </c>
      <c r="F36" s="136">
        <f t="shared" si="0"/>
        <v>1132.296</v>
      </c>
      <c r="G36" s="138">
        <v>943.58</v>
      </c>
      <c r="H36" s="229">
        <f t="shared" si="2"/>
        <v>943.58</v>
      </c>
    </row>
    <row r="37" spans="1:8" ht="45.75" thickBot="1">
      <c r="A37" s="314" t="s">
        <v>300</v>
      </c>
      <c r="B37" s="311">
        <v>0.1</v>
      </c>
      <c r="C37" s="136" t="s">
        <v>318</v>
      </c>
      <c r="D37" s="136">
        <v>12</v>
      </c>
      <c r="E37" s="136">
        <v>0.1</v>
      </c>
      <c r="F37" s="136">
        <f t="shared" si="0"/>
        <v>557.6999999999999</v>
      </c>
      <c r="G37" s="136">
        <v>464.75</v>
      </c>
      <c r="H37" s="229">
        <f t="shared" si="2"/>
        <v>46.475</v>
      </c>
    </row>
    <row r="38" spans="1:8" ht="15.75" thickBot="1">
      <c r="A38" s="315"/>
      <c r="B38" s="312"/>
      <c r="C38" s="137" t="s">
        <v>321</v>
      </c>
      <c r="D38" s="137">
        <v>12</v>
      </c>
      <c r="E38" s="137">
        <v>0.1</v>
      </c>
      <c r="F38" s="136">
        <f t="shared" si="0"/>
        <v>0</v>
      </c>
      <c r="G38" s="137"/>
      <c r="H38" s="228">
        <f t="shared" si="2"/>
        <v>0</v>
      </c>
    </row>
    <row r="39" spans="1:8" ht="15.75" thickBot="1">
      <c r="A39" s="315"/>
      <c r="B39" s="312"/>
      <c r="C39" s="137" t="s">
        <v>310</v>
      </c>
      <c r="D39" s="137" t="s">
        <v>326</v>
      </c>
      <c r="E39" s="137">
        <v>0.1</v>
      </c>
      <c r="F39" s="136">
        <f t="shared" si="0"/>
        <v>326.82</v>
      </c>
      <c r="G39" s="137">
        <v>272.35</v>
      </c>
      <c r="H39" s="229">
        <f t="shared" si="2"/>
        <v>27.235000000000003</v>
      </c>
    </row>
    <row r="40" spans="1:8" ht="30.75" thickBot="1">
      <c r="A40" s="315"/>
      <c r="B40" s="312"/>
      <c r="C40" s="137" t="s">
        <v>314</v>
      </c>
      <c r="D40" s="137" t="s">
        <v>317</v>
      </c>
      <c r="E40" s="137">
        <v>0.1</v>
      </c>
      <c r="F40" s="136">
        <f t="shared" si="0"/>
        <v>48.456</v>
      </c>
      <c r="G40" s="137">
        <v>40.38</v>
      </c>
      <c r="H40" s="229">
        <f t="shared" si="2"/>
        <v>4.038</v>
      </c>
    </row>
    <row r="41" spans="1:8" ht="30.75" thickBot="1">
      <c r="A41" s="315"/>
      <c r="B41" s="312"/>
      <c r="C41" s="137" t="s">
        <v>322</v>
      </c>
      <c r="D41" s="137" t="s">
        <v>317</v>
      </c>
      <c r="E41" s="137">
        <v>0.1</v>
      </c>
      <c r="F41" s="136">
        <f t="shared" si="0"/>
        <v>158.184</v>
      </c>
      <c r="G41" s="137">
        <v>131.82</v>
      </c>
      <c r="H41" s="229">
        <f t="shared" si="2"/>
        <v>13.182</v>
      </c>
    </row>
    <row r="42" spans="1:8" ht="30.75" thickBot="1">
      <c r="A42" s="316"/>
      <c r="B42" s="313"/>
      <c r="C42" s="138" t="s">
        <v>323</v>
      </c>
      <c r="D42" s="138" t="s">
        <v>317</v>
      </c>
      <c r="E42" s="138">
        <v>0.1</v>
      </c>
      <c r="F42" s="136">
        <f t="shared" si="0"/>
        <v>28.247999999999998</v>
      </c>
      <c r="G42" s="138">
        <v>23.54</v>
      </c>
      <c r="H42" s="229">
        <f t="shared" si="2"/>
        <v>2.354</v>
      </c>
    </row>
    <row r="43" spans="1:8" ht="45.75" thickBot="1">
      <c r="A43" s="314" t="s">
        <v>301</v>
      </c>
      <c r="B43" s="311">
        <v>0.1</v>
      </c>
      <c r="C43" s="136" t="s">
        <v>318</v>
      </c>
      <c r="D43" s="136">
        <v>12</v>
      </c>
      <c r="E43" s="136">
        <v>0.1</v>
      </c>
      <c r="F43" s="136">
        <f t="shared" si="0"/>
        <v>557.6999999999999</v>
      </c>
      <c r="G43" s="136">
        <v>464.75</v>
      </c>
      <c r="H43" s="229">
        <f t="shared" si="2"/>
        <v>46.475</v>
      </c>
    </row>
    <row r="44" spans="1:8" ht="30.75" thickBot="1">
      <c r="A44" s="315"/>
      <c r="B44" s="312"/>
      <c r="C44" s="137" t="s">
        <v>309</v>
      </c>
      <c r="D44" s="137">
        <v>36</v>
      </c>
      <c r="E44" s="137">
        <v>0</v>
      </c>
      <c r="F44" s="136">
        <f t="shared" si="0"/>
        <v>693.42</v>
      </c>
      <c r="G44" s="137">
        <v>577.85</v>
      </c>
      <c r="H44" s="229">
        <f t="shared" si="2"/>
        <v>0</v>
      </c>
    </row>
    <row r="45" spans="1:8" ht="15.75" thickBot="1">
      <c r="A45" s="315"/>
      <c r="B45" s="312"/>
      <c r="C45" s="137" t="s">
        <v>319</v>
      </c>
      <c r="D45" s="137">
        <v>12</v>
      </c>
      <c r="E45" s="137">
        <v>0.1</v>
      </c>
      <c r="F45" s="136">
        <f t="shared" si="0"/>
        <v>253.5</v>
      </c>
      <c r="G45" s="137">
        <v>211.25</v>
      </c>
      <c r="H45" s="229">
        <f t="shared" si="2"/>
        <v>21.125</v>
      </c>
    </row>
    <row r="46" spans="1:8" ht="15.75" thickBot="1">
      <c r="A46" s="315"/>
      <c r="B46" s="312"/>
      <c r="C46" s="137" t="s">
        <v>310</v>
      </c>
      <c r="D46" s="137" t="s">
        <v>326</v>
      </c>
      <c r="E46" s="137">
        <v>0.1</v>
      </c>
      <c r="F46" s="136">
        <f t="shared" si="0"/>
        <v>326.82</v>
      </c>
      <c r="G46" s="137">
        <v>272.35</v>
      </c>
      <c r="H46" s="229">
        <f t="shared" si="2"/>
        <v>27.235000000000003</v>
      </c>
    </row>
    <row r="47" spans="1:8" ht="15.75" thickBot="1">
      <c r="A47" s="315"/>
      <c r="B47" s="312"/>
      <c r="C47" s="137" t="s">
        <v>311</v>
      </c>
      <c r="D47" s="137">
        <v>12</v>
      </c>
      <c r="E47" s="137">
        <v>0.1</v>
      </c>
      <c r="F47" s="136">
        <f t="shared" si="0"/>
        <v>1758.252</v>
      </c>
      <c r="G47" s="137">
        <v>1465.21</v>
      </c>
      <c r="H47" s="229">
        <f t="shared" si="2"/>
        <v>146.52100000000002</v>
      </c>
    </row>
    <row r="48" spans="1:8" ht="15.75" thickBot="1">
      <c r="A48" s="315"/>
      <c r="B48" s="312"/>
      <c r="C48" s="137" t="s">
        <v>312</v>
      </c>
      <c r="D48" s="137">
        <v>24</v>
      </c>
      <c r="E48" s="137">
        <v>0</v>
      </c>
      <c r="F48" s="136">
        <f t="shared" si="0"/>
        <v>433.67999999999995</v>
      </c>
      <c r="G48" s="137">
        <v>361.4</v>
      </c>
      <c r="H48" s="229">
        <f t="shared" si="2"/>
        <v>0</v>
      </c>
    </row>
    <row r="49" spans="1:8" ht="30.75" thickBot="1">
      <c r="A49" s="315"/>
      <c r="B49" s="312"/>
      <c r="C49" s="137" t="s">
        <v>313</v>
      </c>
      <c r="D49" s="137">
        <v>3</v>
      </c>
      <c r="E49" s="137">
        <v>1</v>
      </c>
      <c r="F49" s="136">
        <f t="shared" si="0"/>
        <v>46.583999999999996</v>
      </c>
      <c r="G49" s="137">
        <v>38.82</v>
      </c>
      <c r="H49" s="229">
        <f t="shared" si="2"/>
        <v>38.82</v>
      </c>
    </row>
    <row r="50" spans="1:8" ht="30.75" thickBot="1">
      <c r="A50" s="315"/>
      <c r="B50" s="312"/>
      <c r="C50" s="137" t="s">
        <v>322</v>
      </c>
      <c r="D50" s="137" t="s">
        <v>317</v>
      </c>
      <c r="E50" s="137">
        <v>0.1</v>
      </c>
      <c r="F50" s="136">
        <f t="shared" si="0"/>
        <v>158.184</v>
      </c>
      <c r="G50" s="137">
        <v>131.82</v>
      </c>
      <c r="H50" s="229">
        <f t="shared" si="2"/>
        <v>13.182</v>
      </c>
    </row>
    <row r="51" spans="1:8" ht="30.75" thickBot="1">
      <c r="A51" s="315"/>
      <c r="B51" s="312"/>
      <c r="C51" s="137" t="s">
        <v>324</v>
      </c>
      <c r="D51" s="137" t="s">
        <v>317</v>
      </c>
      <c r="E51" s="137">
        <v>0.1</v>
      </c>
      <c r="F51" s="136">
        <f t="shared" si="0"/>
        <v>144.99599999999998</v>
      </c>
      <c r="G51" s="137">
        <v>120.83</v>
      </c>
      <c r="H51" s="229">
        <f t="shared" si="2"/>
        <v>12.083</v>
      </c>
    </row>
    <row r="52" spans="1:8" ht="45.75" thickBot="1">
      <c r="A52" s="315"/>
      <c r="B52" s="312"/>
      <c r="C52" s="137" t="s">
        <v>315</v>
      </c>
      <c r="D52" s="137">
        <v>24</v>
      </c>
      <c r="E52" s="137">
        <v>0</v>
      </c>
      <c r="F52" s="136">
        <f t="shared" si="0"/>
        <v>3036.5399999999995</v>
      </c>
      <c r="G52" s="137">
        <v>2530.45</v>
      </c>
      <c r="H52" s="229">
        <f t="shared" si="2"/>
        <v>0</v>
      </c>
    </row>
    <row r="53" spans="1:8" ht="30.75" thickBot="1">
      <c r="A53" s="315"/>
      <c r="B53" s="312"/>
      <c r="C53" s="137" t="s">
        <v>325</v>
      </c>
      <c r="D53" s="137">
        <v>24</v>
      </c>
      <c r="E53" s="137">
        <v>0</v>
      </c>
      <c r="F53" s="136">
        <f t="shared" si="0"/>
        <v>137.928</v>
      </c>
      <c r="G53" s="137">
        <v>114.94</v>
      </c>
      <c r="H53" s="229">
        <f t="shared" si="2"/>
        <v>0</v>
      </c>
    </row>
    <row r="54" spans="1:8" ht="30.75" thickBot="1">
      <c r="A54" s="316"/>
      <c r="B54" s="313"/>
      <c r="C54" s="138" t="s">
        <v>320</v>
      </c>
      <c r="D54" s="138">
        <v>30</v>
      </c>
      <c r="E54" s="138">
        <v>0</v>
      </c>
      <c r="F54" s="136">
        <f t="shared" si="0"/>
        <v>1132.296</v>
      </c>
      <c r="G54" s="138">
        <v>943.58</v>
      </c>
      <c r="H54" s="229">
        <f t="shared" si="2"/>
        <v>0</v>
      </c>
    </row>
    <row r="55" spans="1:8" ht="15">
      <c r="A55" s="139" t="s">
        <v>283</v>
      </c>
      <c r="B55" s="140">
        <f>SUM(B5:B43)</f>
        <v>9.5</v>
      </c>
      <c r="C55" s="140"/>
      <c r="D55" s="140"/>
      <c r="E55" s="140"/>
      <c r="F55" s="140"/>
      <c r="G55" s="140"/>
      <c r="H55" s="140">
        <f>SUM(H5:H54)</f>
        <v>51586.77349999998</v>
      </c>
    </row>
  </sheetData>
  <sheetProtection/>
  <mergeCells count="12">
    <mergeCell ref="A5:A10"/>
    <mergeCell ref="B5:B10"/>
    <mergeCell ref="A11:A19"/>
    <mergeCell ref="B11:B19"/>
    <mergeCell ref="A20:A28"/>
    <mergeCell ref="B20:B28"/>
    <mergeCell ref="A29:A36"/>
    <mergeCell ref="B29:B36"/>
    <mergeCell ref="A37:A42"/>
    <mergeCell ref="B37:B42"/>
    <mergeCell ref="A43:A54"/>
    <mergeCell ref="B43:B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K26"/>
  <sheetViews>
    <sheetView zoomScalePageLayoutView="0" workbookViewId="0" topLeftCell="A12">
      <selection activeCell="J24" sqref="J24"/>
    </sheetView>
  </sheetViews>
  <sheetFormatPr defaultColWidth="9.140625" defaultRowHeight="15"/>
  <cols>
    <col min="1" max="1" width="19.140625" style="219" customWidth="1"/>
    <col min="2" max="2" width="11.8515625" style="0" customWidth="1"/>
    <col min="3" max="3" width="10.57421875" style="0" customWidth="1"/>
    <col min="4" max="5" width="11.28125" style="0" customWidth="1"/>
    <col min="11" max="11" width="17.8515625" style="0" customWidth="1"/>
  </cols>
  <sheetData>
    <row r="6" spans="6:10" ht="15">
      <c r="F6" t="s">
        <v>410</v>
      </c>
      <c r="G6" t="s">
        <v>446</v>
      </c>
      <c r="H6" t="s">
        <v>447</v>
      </c>
      <c r="I6" t="s">
        <v>394</v>
      </c>
      <c r="J6" t="s">
        <v>411</v>
      </c>
    </row>
    <row r="7" spans="6:10" ht="15">
      <c r="F7">
        <f>SUM(G7:J7)</f>
        <v>10583.75</v>
      </c>
      <c r="G7">
        <v>3648.95</v>
      </c>
      <c r="H7">
        <v>2843.9</v>
      </c>
      <c r="I7">
        <v>2028.5</v>
      </c>
      <c r="J7">
        <v>2062.4</v>
      </c>
    </row>
    <row r="8" spans="7:10" ht="15">
      <c r="G8" s="108">
        <f>G7/$F$7</f>
        <v>0.34476910357859925</v>
      </c>
      <c r="H8" s="108"/>
      <c r="I8" s="108">
        <f>I7/$F$7</f>
        <v>0.1916617456005669</v>
      </c>
      <c r="J8" s="108">
        <f>J7/$F$7</f>
        <v>0.1948647691035786</v>
      </c>
    </row>
    <row r="10" spans="1:10" ht="15">
      <c r="A10" s="220"/>
      <c r="B10" s="125"/>
      <c r="C10" s="125" t="s">
        <v>412</v>
      </c>
      <c r="D10" s="125" t="s">
        <v>413</v>
      </c>
      <c r="E10" s="125" t="s">
        <v>414</v>
      </c>
      <c r="F10" s="125"/>
      <c r="G10" s="125"/>
      <c r="H10" s="125"/>
      <c r="I10" s="125"/>
      <c r="J10" s="125"/>
    </row>
    <row r="11" spans="1:11" ht="15">
      <c r="A11" s="220" t="s">
        <v>365</v>
      </c>
      <c r="B11" s="125" t="s">
        <v>431</v>
      </c>
      <c r="C11" s="127">
        <v>491760</v>
      </c>
      <c r="D11" s="127">
        <v>231840</v>
      </c>
      <c r="E11" s="127">
        <v>231840</v>
      </c>
      <c r="F11" s="223" t="e">
        <f>G11:G12+H11</f>
        <v>#REF!</v>
      </c>
      <c r="G11" s="223">
        <f>D11*$G$8</f>
        <v>79931.26897366245</v>
      </c>
      <c r="H11" s="224" t="e">
        <f>I11+J11+#REF!</f>
        <v>#REF!</v>
      </c>
      <c r="I11" s="223">
        <f>D11*$I$8</f>
        <v>44434.85910003543</v>
      </c>
      <c r="J11" s="223">
        <f>D11*$J$8</f>
        <v>45177.44806897367</v>
      </c>
      <c r="K11" s="108">
        <f>E11/H7*I7</f>
        <v>165367.0804177362</v>
      </c>
    </row>
    <row r="12" spans="1:11" ht="30">
      <c r="A12" s="220" t="s">
        <v>415</v>
      </c>
      <c r="B12" s="125"/>
      <c r="C12" s="223"/>
      <c r="D12" s="223"/>
      <c r="E12" s="223"/>
      <c r="F12" s="223" t="e">
        <f>G12:G13+H12</f>
        <v>#REF!</v>
      </c>
      <c r="G12" s="223">
        <f aca="true" t="shared" si="0" ref="G12:G23">D12*$G$8</f>
        <v>0</v>
      </c>
      <c r="H12" s="224" t="e">
        <f>I12+J12+#REF!</f>
        <v>#REF!</v>
      </c>
      <c r="I12" s="223">
        <f aca="true" t="shared" si="1" ref="I12:I22">D12*$I$8</f>
        <v>0</v>
      </c>
      <c r="J12" s="223">
        <f aca="true" t="shared" si="2" ref="J12:J23">D12*$J$8</f>
        <v>0</v>
      </c>
      <c r="K12" s="108">
        <f>E12/H7*I7</f>
        <v>0</v>
      </c>
    </row>
    <row r="13" spans="1:11" ht="30">
      <c r="A13" s="220" t="s">
        <v>416</v>
      </c>
      <c r="B13" s="125" t="s">
        <v>417</v>
      </c>
      <c r="C13" s="223"/>
      <c r="D13" s="223"/>
      <c r="E13" s="223"/>
      <c r="F13" s="223" t="e">
        <f aca="true" t="shared" si="3" ref="F13:F24">G13:G14+H13</f>
        <v>#REF!</v>
      </c>
      <c r="G13" s="223">
        <f t="shared" si="0"/>
        <v>0</v>
      </c>
      <c r="H13" s="224" t="e">
        <f>I13+J13+#REF!</f>
        <v>#REF!</v>
      </c>
      <c r="I13" s="223">
        <f t="shared" si="1"/>
        <v>0</v>
      </c>
      <c r="J13" s="223">
        <f t="shared" si="2"/>
        <v>0</v>
      </c>
      <c r="K13" s="108">
        <f>E13/H7*I7</f>
        <v>0</v>
      </c>
    </row>
    <row r="14" spans="1:11" ht="15">
      <c r="A14" s="221" t="s">
        <v>418</v>
      </c>
      <c r="B14" s="222"/>
      <c r="C14" s="223"/>
      <c r="D14" s="223"/>
      <c r="E14" s="223"/>
      <c r="F14" s="223" t="e">
        <f t="shared" si="3"/>
        <v>#REF!</v>
      </c>
      <c r="G14" s="223">
        <f>G15+G16+G17</f>
        <v>20686.146214715955</v>
      </c>
      <c r="H14" s="223" t="e">
        <f>H15+H16+H17</f>
        <v>#REF!</v>
      </c>
      <c r="I14" s="223">
        <f>I15+I16+I17</f>
        <v>11499.704736034013</v>
      </c>
      <c r="J14" s="223">
        <f>J15+J16+J17</f>
        <v>11691.886146214716</v>
      </c>
      <c r="K14" s="108">
        <f>E14/H7*I7</f>
        <v>0</v>
      </c>
    </row>
    <row r="15" spans="1:11" ht="15">
      <c r="A15" s="221" t="s">
        <v>432</v>
      </c>
      <c r="B15" s="222" t="s">
        <v>433</v>
      </c>
      <c r="C15" s="127">
        <v>60000</v>
      </c>
      <c r="D15" s="127">
        <v>60000</v>
      </c>
      <c r="E15" s="127">
        <v>0</v>
      </c>
      <c r="F15" s="223">
        <v>0</v>
      </c>
      <c r="G15" s="223">
        <f>D15*$G$8</f>
        <v>20686.146214715955</v>
      </c>
      <c r="H15" s="224" t="e">
        <f>I15+J15+#REF!</f>
        <v>#REF!</v>
      </c>
      <c r="I15" s="223">
        <f>D15*$I$8</f>
        <v>11499.704736034013</v>
      </c>
      <c r="J15" s="223">
        <f>D15*$J$8</f>
        <v>11691.886146214716</v>
      </c>
      <c r="K15" s="108">
        <f>E15/H7*I7</f>
        <v>0</v>
      </c>
    </row>
    <row r="16" spans="1:11" ht="15">
      <c r="A16" s="221" t="s">
        <v>419</v>
      </c>
      <c r="B16" s="222" t="s">
        <v>420</v>
      </c>
      <c r="C16" s="223"/>
      <c r="D16" s="223"/>
      <c r="E16" s="223"/>
      <c r="F16" s="223" t="e">
        <f t="shared" si="3"/>
        <v>#REF!</v>
      </c>
      <c r="G16" s="223">
        <f>D16*$G$8</f>
        <v>0</v>
      </c>
      <c r="H16" s="224" t="e">
        <f>I16+J16+#REF!</f>
        <v>#REF!</v>
      </c>
      <c r="I16" s="223">
        <f>D16*$I$8</f>
        <v>0</v>
      </c>
      <c r="J16" s="223">
        <f>D16*$J$8</f>
        <v>0</v>
      </c>
      <c r="K16" s="108">
        <f>E16/H7*I7</f>
        <v>0</v>
      </c>
    </row>
    <row r="17" spans="1:11" ht="15">
      <c r="A17" s="221" t="s">
        <v>421</v>
      </c>
      <c r="B17" s="222" t="s">
        <v>422</v>
      </c>
      <c r="C17" s="223"/>
      <c r="D17" s="223"/>
      <c r="E17" s="223"/>
      <c r="F17" s="223" t="e">
        <f t="shared" si="3"/>
        <v>#REF!</v>
      </c>
      <c r="G17" s="223">
        <f>D17*$G$8</f>
        <v>0</v>
      </c>
      <c r="H17" s="224" t="e">
        <f>I17+J17+#REF!</f>
        <v>#REF!</v>
      </c>
      <c r="I17" s="223">
        <f>D17*$I$8</f>
        <v>0</v>
      </c>
      <c r="J17" s="223">
        <f>D17*$J$8</f>
        <v>0</v>
      </c>
      <c r="K17" s="108">
        <f>E17/H7*I7</f>
        <v>0</v>
      </c>
    </row>
    <row r="18" spans="1:11" ht="15">
      <c r="A18" s="220" t="s">
        <v>423</v>
      </c>
      <c r="B18" s="125" t="s">
        <v>424</v>
      </c>
      <c r="C18" s="127">
        <v>576652.75</v>
      </c>
      <c r="D18" s="127">
        <v>576652.75</v>
      </c>
      <c r="E18" s="127">
        <v>456652.75</v>
      </c>
      <c r="F18" s="223" t="e">
        <f t="shared" si="3"/>
        <v>#REF!</v>
      </c>
      <c r="G18" s="223">
        <f>D18*$G$8</f>
        <v>198812.0516936341</v>
      </c>
      <c r="H18" s="224" t="e">
        <f>I18+J18+#REF!</f>
        <v>#REF!</v>
      </c>
      <c r="I18" s="223">
        <f t="shared" si="1"/>
        <v>110522.2726703673</v>
      </c>
      <c r="J18" s="223">
        <f t="shared" si="2"/>
        <v>112369.30498169364</v>
      </c>
      <c r="K18" s="108">
        <f>E18/H7*I7</f>
        <v>325721.75652273285</v>
      </c>
    </row>
    <row r="19" spans="1:11" ht="15">
      <c r="A19" s="220" t="s">
        <v>343</v>
      </c>
      <c r="B19" s="125" t="s">
        <v>434</v>
      </c>
      <c r="C19" s="127">
        <v>46644</v>
      </c>
      <c r="D19" s="127">
        <v>46644</v>
      </c>
      <c r="E19" s="127">
        <v>0</v>
      </c>
      <c r="F19" s="223" t="e">
        <f t="shared" si="3"/>
        <v>#REF!</v>
      </c>
      <c r="G19" s="223">
        <f t="shared" si="0"/>
        <v>16081.410067320183</v>
      </c>
      <c r="H19" s="224" t="e">
        <f>I19+J19+#REF!</f>
        <v>#REF!</v>
      </c>
      <c r="I19" s="223">
        <f t="shared" si="1"/>
        <v>8939.870461792842</v>
      </c>
      <c r="J19" s="223">
        <f t="shared" si="2"/>
        <v>9089.272290067322</v>
      </c>
      <c r="K19" s="108">
        <f>E19/H7*I7</f>
        <v>0</v>
      </c>
    </row>
    <row r="20" spans="1:11" ht="15">
      <c r="A20" s="220" t="s">
        <v>381</v>
      </c>
      <c r="B20" s="125" t="s">
        <v>425</v>
      </c>
      <c r="C20" s="127">
        <v>24949.8</v>
      </c>
      <c r="D20" s="127">
        <v>9720.49</v>
      </c>
      <c r="E20" s="127">
        <v>9720.49</v>
      </c>
      <c r="F20" s="223" t="e">
        <f t="shared" si="3"/>
        <v>#REF!</v>
      </c>
      <c r="G20" s="223">
        <f t="shared" si="0"/>
        <v>3351.324623644738</v>
      </c>
      <c r="H20" s="224" t="e">
        <f>I20+J20+#REF!</f>
        <v>#REF!</v>
      </c>
      <c r="I20" s="223">
        <f t="shared" si="1"/>
        <v>1863.0460814928545</v>
      </c>
      <c r="J20" s="223">
        <f t="shared" si="2"/>
        <v>1894.1810394236447</v>
      </c>
      <c r="K20" s="108">
        <f>E20/H7*I7</f>
        <v>6933.441388586096</v>
      </c>
    </row>
    <row r="21" spans="1:11" ht="15">
      <c r="A21" s="220" t="s">
        <v>426</v>
      </c>
      <c r="B21" s="125" t="s">
        <v>427</v>
      </c>
      <c r="C21" s="127">
        <v>18000</v>
      </c>
      <c r="D21" s="127">
        <v>18000</v>
      </c>
      <c r="E21" s="127">
        <f>C21</f>
        <v>18000</v>
      </c>
      <c r="F21" s="223" t="e">
        <f t="shared" si="3"/>
        <v>#REF!</v>
      </c>
      <c r="G21" s="223">
        <f t="shared" si="0"/>
        <v>6205.843864414786</v>
      </c>
      <c r="H21" s="224" t="e">
        <f>I21+J21+#REF!</f>
        <v>#REF!</v>
      </c>
      <c r="I21" s="223">
        <f t="shared" si="1"/>
        <v>3449.911420810204</v>
      </c>
      <c r="J21" s="223">
        <f t="shared" si="2"/>
        <v>3507.565843864415</v>
      </c>
      <c r="K21" s="108">
        <f>E21/H7*I7</f>
        <v>12839.059038644114</v>
      </c>
    </row>
    <row r="22" spans="1:11" ht="15">
      <c r="A22" s="220" t="s">
        <v>428</v>
      </c>
      <c r="B22" s="125" t="s">
        <v>429</v>
      </c>
      <c r="C22" s="223"/>
      <c r="D22" s="223"/>
      <c r="E22" s="223"/>
      <c r="F22" s="223" t="e">
        <f t="shared" si="3"/>
        <v>#REF!</v>
      </c>
      <c r="G22" s="223">
        <f t="shared" si="0"/>
        <v>0</v>
      </c>
      <c r="H22" s="224" t="e">
        <f>I22+J22+#REF!</f>
        <v>#REF!</v>
      </c>
      <c r="I22" s="223">
        <f t="shared" si="1"/>
        <v>0</v>
      </c>
      <c r="J22" s="223">
        <f t="shared" si="2"/>
        <v>0</v>
      </c>
      <c r="K22" s="108">
        <f>E22/H7*I7</f>
        <v>0</v>
      </c>
    </row>
    <row r="23" spans="1:11" ht="45">
      <c r="A23" s="220" t="s">
        <v>349</v>
      </c>
      <c r="B23" s="125" t="s">
        <v>430</v>
      </c>
      <c r="C23" s="223"/>
      <c r="D23" s="223"/>
      <c r="E23" s="223"/>
      <c r="F23" s="223" t="e">
        <f t="shared" si="3"/>
        <v>#REF!</v>
      </c>
      <c r="G23" s="223">
        <f t="shared" si="0"/>
        <v>0</v>
      </c>
      <c r="H23" s="224" t="e">
        <f>I23+J23+#REF!</f>
        <v>#REF!</v>
      </c>
      <c r="I23" s="223">
        <f>D23*$I$8</f>
        <v>0</v>
      </c>
      <c r="J23" s="223">
        <f t="shared" si="2"/>
        <v>0</v>
      </c>
      <c r="K23" s="108">
        <f>E23/H7*I7</f>
        <v>0</v>
      </c>
    </row>
    <row r="24" spans="3:11" ht="15">
      <c r="C24" s="225"/>
      <c r="D24" s="226">
        <f>SUM(D11:D12,D19:D23)</f>
        <v>306204.49</v>
      </c>
      <c r="E24" s="226">
        <f>SUM(E11:E12,E18:E23)</f>
        <v>716213.24</v>
      </c>
      <c r="F24" s="225">
        <f t="shared" si="3"/>
        <v>439377.8325578363</v>
      </c>
      <c r="G24" s="225">
        <f>E24/F7*G7</f>
        <v>246928.19672592415</v>
      </c>
      <c r="H24" s="227">
        <f>E24/F7*H7</f>
        <v>192449.63583191214</v>
      </c>
      <c r="I24" s="226">
        <f>E24/F7*I7</f>
        <v>137270.67980063776</v>
      </c>
      <c r="J24" s="226">
        <f>E24/F7*J7</f>
        <v>139564.7276415259</v>
      </c>
      <c r="K24" s="108">
        <f>SUM(K11:K12,K19:K23)</f>
        <v>185139.5808449664</v>
      </c>
    </row>
    <row r="26" ht="15">
      <c r="J26">
        <f>SUM(I24:J24)</f>
        <v>276835.4074421637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N17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9.8515625" style="0" customWidth="1"/>
  </cols>
  <sheetData>
    <row r="4" spans="1:13" ht="30">
      <c r="A4" s="125" t="s">
        <v>284</v>
      </c>
      <c r="B4" s="128" t="s">
        <v>285</v>
      </c>
      <c r="C4" s="128" t="s">
        <v>286</v>
      </c>
      <c r="D4" s="128" t="s">
        <v>287</v>
      </c>
      <c r="E4" s="128" t="s">
        <v>288</v>
      </c>
      <c r="F4" s="128" t="s">
        <v>289</v>
      </c>
      <c r="G4" s="128" t="s">
        <v>290</v>
      </c>
      <c r="H4" s="128" t="s">
        <v>291</v>
      </c>
      <c r="I4" s="130" t="s">
        <v>283</v>
      </c>
      <c r="J4" s="128" t="s">
        <v>292</v>
      </c>
      <c r="K4" s="128" t="s">
        <v>293</v>
      </c>
      <c r="L4" s="132" t="s">
        <v>294</v>
      </c>
      <c r="M4" s="132" t="s">
        <v>295</v>
      </c>
    </row>
    <row r="5" spans="1:13" ht="15">
      <c r="A5" s="125" t="s">
        <v>435</v>
      </c>
      <c r="B5" s="125">
        <v>0.5</v>
      </c>
      <c r="C5" s="125">
        <v>14820</v>
      </c>
      <c r="D5" s="125">
        <f>C5*B5</f>
        <v>7410</v>
      </c>
      <c r="E5" s="125"/>
      <c r="F5" s="125">
        <v>592.8</v>
      </c>
      <c r="G5" s="125"/>
      <c r="H5" s="125"/>
      <c r="I5" s="131">
        <f>SUM(D5:H5)</f>
        <v>8002.8</v>
      </c>
      <c r="J5" s="125">
        <f>I5*30%</f>
        <v>2400.84</v>
      </c>
      <c r="K5" s="125">
        <f>I5*30%</f>
        <v>2400.84</v>
      </c>
      <c r="L5" s="129">
        <f>SUM(I5:K5)</f>
        <v>12804.48</v>
      </c>
      <c r="M5" s="129">
        <f>L5*12</f>
        <v>153653.76</v>
      </c>
    </row>
    <row r="6" spans="1:13" ht="15">
      <c r="A6" s="125" t="s">
        <v>436</v>
      </c>
      <c r="B6" s="125">
        <v>0.5</v>
      </c>
      <c r="C6" s="125">
        <v>13650</v>
      </c>
      <c r="D6" s="125">
        <f>C6*B6</f>
        <v>6825</v>
      </c>
      <c r="E6" s="125"/>
      <c r="F6" s="125"/>
      <c r="G6" s="125"/>
      <c r="H6" s="125"/>
      <c r="I6" s="131">
        <f>SUM(D6:H6)</f>
        <v>6825</v>
      </c>
      <c r="J6" s="125">
        <f>I6*30%</f>
        <v>2047.5</v>
      </c>
      <c r="K6" s="125">
        <f>I6*30%</f>
        <v>2047.5</v>
      </c>
      <c r="L6" s="129">
        <f>SUM(I6:K6)</f>
        <v>10920</v>
      </c>
      <c r="M6" s="129">
        <f>L6*12</f>
        <v>131040</v>
      </c>
    </row>
    <row r="7" spans="1:13" ht="15">
      <c r="A7" s="125" t="s">
        <v>437</v>
      </c>
      <c r="B7" s="125">
        <v>1</v>
      </c>
      <c r="C7" s="125">
        <v>13650</v>
      </c>
      <c r="D7" s="125">
        <f>C7*B7</f>
        <v>13650</v>
      </c>
      <c r="E7" s="125"/>
      <c r="F7" s="125"/>
      <c r="G7" s="125"/>
      <c r="H7" s="125"/>
      <c r="I7" s="131">
        <f>SUM(D7:H7)</f>
        <v>13650</v>
      </c>
      <c r="J7" s="125">
        <f>I7*30%</f>
        <v>4095</v>
      </c>
      <c r="K7" s="125">
        <f>I7*30%</f>
        <v>4095</v>
      </c>
      <c r="L7" s="129">
        <f>SUM(I7:K7)</f>
        <v>21840</v>
      </c>
      <c r="M7" s="129">
        <f>L7*12</f>
        <v>262080</v>
      </c>
    </row>
    <row r="8" spans="1:13" ht="15">
      <c r="A8" s="127" t="s">
        <v>438</v>
      </c>
      <c r="B8" s="125">
        <v>2</v>
      </c>
      <c r="C8" s="125">
        <v>12480</v>
      </c>
      <c r="D8" s="125">
        <f>C8*B8</f>
        <v>24960</v>
      </c>
      <c r="E8" s="125"/>
      <c r="F8" s="125"/>
      <c r="G8" s="125"/>
      <c r="H8" s="125"/>
      <c r="I8" s="131">
        <f>SUM(D8:H8)</f>
        <v>24960</v>
      </c>
      <c r="J8" s="125">
        <f>I8*30%</f>
        <v>7488</v>
      </c>
      <c r="K8" s="125">
        <f>I8*30%</f>
        <v>7488</v>
      </c>
      <c r="L8" s="129">
        <f>SUM(I8:K8)</f>
        <v>39936</v>
      </c>
      <c r="M8" s="129">
        <f>L8*12</f>
        <v>479232</v>
      </c>
    </row>
    <row r="9" spans="1:13" ht="15">
      <c r="A9" s="127" t="s">
        <v>439</v>
      </c>
      <c r="B9" s="125">
        <v>2</v>
      </c>
      <c r="C9" s="125">
        <v>13650</v>
      </c>
      <c r="D9" s="125">
        <f>C9*B9</f>
        <v>27300</v>
      </c>
      <c r="E9" s="125"/>
      <c r="F9" s="125"/>
      <c r="G9" s="125"/>
      <c r="H9" s="125"/>
      <c r="I9" s="131">
        <f>SUM(D9:H9)</f>
        <v>27300</v>
      </c>
      <c r="J9" s="125">
        <f>I9*30%</f>
        <v>8190</v>
      </c>
      <c r="K9" s="125">
        <f>I9*30%</f>
        <v>8190</v>
      </c>
      <c r="L9" s="129">
        <f>SUM(I9:K9)</f>
        <v>43680</v>
      </c>
      <c r="M9" s="129">
        <f>L9*12</f>
        <v>524160</v>
      </c>
    </row>
    <row r="10" spans="1:14" ht="15">
      <c r="A10" s="127" t="s">
        <v>283</v>
      </c>
      <c r="B10" s="125">
        <f>SUM(B5:B9)</f>
        <v>6</v>
      </c>
      <c r="C10" s="125"/>
      <c r="D10" s="125">
        <f aca="true" t="shared" si="0" ref="D10:M10">SUM(D5:D9)</f>
        <v>80145</v>
      </c>
      <c r="E10" s="125">
        <f t="shared" si="0"/>
        <v>0</v>
      </c>
      <c r="F10" s="125">
        <f t="shared" si="0"/>
        <v>592.8</v>
      </c>
      <c r="G10" s="125">
        <f t="shared" si="0"/>
        <v>0</v>
      </c>
      <c r="H10" s="125">
        <f t="shared" si="0"/>
        <v>0</v>
      </c>
      <c r="I10" s="125">
        <f t="shared" si="0"/>
        <v>80737.8</v>
      </c>
      <c r="J10" s="125">
        <f t="shared" si="0"/>
        <v>24221.34</v>
      </c>
      <c r="K10" s="125">
        <f t="shared" si="0"/>
        <v>24221.34</v>
      </c>
      <c r="L10" s="125">
        <f t="shared" si="0"/>
        <v>129180.48</v>
      </c>
      <c r="M10" s="125">
        <f t="shared" si="0"/>
        <v>1550165.76</v>
      </c>
      <c r="N10" s="126">
        <f>SUM(M5:M9)</f>
        <v>1550165.76</v>
      </c>
    </row>
    <row r="12" spans="2:4" ht="15">
      <c r="B12" t="s">
        <v>444</v>
      </c>
      <c r="D12" t="s">
        <v>445</v>
      </c>
    </row>
    <row r="13" spans="1:4" ht="15">
      <c r="A13" t="s">
        <v>440</v>
      </c>
      <c r="B13">
        <v>3648.95</v>
      </c>
      <c r="D13">
        <f>D17/B17*B13</f>
        <v>548.3550454849179</v>
      </c>
    </row>
    <row r="14" spans="1:4" ht="15">
      <c r="A14" t="s">
        <v>441</v>
      </c>
      <c r="B14">
        <v>2843.9</v>
      </c>
      <c r="D14">
        <f>D17/B17*B14</f>
        <v>427.37415252457777</v>
      </c>
    </row>
    <row r="15" spans="1:4" ht="15">
      <c r="A15" t="s">
        <v>442</v>
      </c>
      <c r="B15">
        <v>2028.5</v>
      </c>
      <c r="D15">
        <f>D17/B17*B15</f>
        <v>304.83788754741937</v>
      </c>
    </row>
    <row r="16" spans="1:4" ht="15">
      <c r="A16" t="s">
        <v>443</v>
      </c>
      <c r="B16">
        <v>2062.4</v>
      </c>
      <c r="D16">
        <f>D17/B17*B16</f>
        <v>309.9322944430849</v>
      </c>
    </row>
    <row r="17" spans="2:4" ht="15">
      <c r="B17">
        <f>SUM(B13:B16)</f>
        <v>10583.75</v>
      </c>
      <c r="D17">
        <v>1590.49938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2019-05-23T02:42:35Z</dcterms:modified>
  <cp:category/>
  <cp:version/>
  <cp:contentType/>
  <cp:contentStatus/>
</cp:coreProperties>
</file>