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70" activeTab="0"/>
  </bookViews>
  <sheets>
    <sheet name="ОЧ" sheetId="1" r:id="rId1"/>
    <sheet name="числ" sheetId="2" r:id="rId2"/>
    <sheet name="Общехоз расх" sheetId="3" r:id="rId3"/>
    <sheet name="зпл" sheetId="4" r:id="rId4"/>
    <sheet name="охрана труда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<sst xmlns="http://schemas.openxmlformats.org/spreadsheetml/2006/main" count="764" uniqueCount="460">
  <si>
    <t>№ п/п</t>
  </si>
  <si>
    <t>Наименование показателя</t>
  </si>
  <si>
    <t>Единица
измерений</t>
  </si>
  <si>
    <t>Представлено Предприятием в качестве обоснования</t>
  </si>
  <si>
    <t>Рост по отношению к базовому периоду, %</t>
  </si>
  <si>
    <t>план</t>
  </si>
  <si>
    <t>факт</t>
  </si>
  <si>
    <t>Баланс:</t>
  </si>
  <si>
    <t>1.</t>
  </si>
  <si>
    <t>куб. м</t>
  </si>
  <si>
    <t>2.</t>
  </si>
  <si>
    <t>3.</t>
  </si>
  <si>
    <t>4.</t>
  </si>
  <si>
    <t>5.</t>
  </si>
  <si>
    <t>6.</t>
  </si>
  <si>
    <t>%</t>
  </si>
  <si>
    <t>7.</t>
  </si>
  <si>
    <t>По нижеприведенным основаниям.</t>
  </si>
  <si>
    <t>бюджетным потребителям</t>
  </si>
  <si>
    <t>населению</t>
  </si>
  <si>
    <t>прочим потребителям</t>
  </si>
  <si>
    <t>Расчет необходимой валовой выручки:</t>
  </si>
  <si>
    <t>Является плательщиком НДС (да/нет)</t>
  </si>
  <si>
    <t>нет</t>
  </si>
  <si>
    <t>тыс. руб.</t>
  </si>
  <si>
    <t>Производственные расходы</t>
  </si>
  <si>
    <t>Расходы на приобретение сырья и материалов и их хранение</t>
  </si>
  <si>
    <t>Расходы на оплату труда и страховые взносы производственного персонала,
в том числе:</t>
  </si>
  <si>
    <t>Фонд оплаты труда основного производственного персонала</t>
  </si>
  <si>
    <t>Среднемесячная оплата труда основного производственного персонала</t>
  </si>
  <si>
    <t>руб./мес.</t>
  </si>
  <si>
    <t>Численность (среднесписочная) основного производственного персонала, принятая для расчета</t>
  </si>
  <si>
    <t>ед.</t>
  </si>
  <si>
    <t>Страховые взносы от оплаты труда основного производственного персонала</t>
  </si>
  <si>
    <t>Фонд оплаты труда цехового персонала</t>
  </si>
  <si>
    <t>Среднемесячная оплата труда цехового персонала</t>
  </si>
  <si>
    <t>Численность (среднесписочная) цехового персонала, принятая для расчета</t>
  </si>
  <si>
    <t>Страховые взносы от оплаты труда цехового персонала</t>
  </si>
  <si>
    <t>Расходы на уплату процентов по займам и кредитам, не учитываемые при определении налогооблагаемой базы налога на прибыль</t>
  </si>
  <si>
    <t>Общехозяйственные расходы</t>
  </si>
  <si>
    <t>Прочие производственные расходы</t>
  </si>
  <si>
    <t>Расходы на амортизацию автотранспорта</t>
  </si>
  <si>
    <t>Расходы на приобретение (использование) вспомогательных материалов, запасных частей</t>
  </si>
  <si>
    <t>Расходы на эксплуатацию, техническое обслуживание и ремонт автотранспорта</t>
  </si>
  <si>
    <t>Расходы на охрану труда</t>
  </si>
  <si>
    <t>Ремонтные расходы</t>
  </si>
  <si>
    <t>Расходы на оплату труда и отчисления на социальные нужды ремонтного персонала</t>
  </si>
  <si>
    <t>Среднемесячная оплата труда ремонтного персонала</t>
  </si>
  <si>
    <t>Численность (среднесписочная) ремонтного персонала, принятая для расчета</t>
  </si>
  <si>
    <t>Страховые взносы от оплаты труда ремонтного персонала</t>
  </si>
  <si>
    <t>Административные расходы</t>
  </si>
  <si>
    <t>Фонд оплаты труда административного персонала</t>
  </si>
  <si>
    <t>Среднемесячная оплата труда административного персонала</t>
  </si>
  <si>
    <t>Численность (среднесписочная) административного персонала, относимая на регулируемый вид деятельности</t>
  </si>
  <si>
    <t>Страховые взносы от оплаты труда административного персонала</t>
  </si>
  <si>
    <t>Прочие административные расходы:</t>
  </si>
  <si>
    <t>Расходы на оплату работ и услуг, выполняемых сторонними организациями:</t>
  </si>
  <si>
    <t>услуги связи и интернет</t>
  </si>
  <si>
    <t>юридические услуги</t>
  </si>
  <si>
    <t>аудиторские услуги</t>
  </si>
  <si>
    <t>консультационные услуги</t>
  </si>
  <si>
    <t>услуги по вневедомственной охране объектов и территорий</t>
  </si>
  <si>
    <t>информационные услуги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</si>
  <si>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</si>
  <si>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Служебные командировки</t>
  </si>
  <si>
    <t>Обучение персонала</t>
  </si>
  <si>
    <t>Расходы на страхование производственных объектов, учитываемые при определении базы по налогу на прибыль</t>
  </si>
  <si>
    <t>Расходы на амортизацию непроизводственных активов</t>
  </si>
  <si>
    <t>Расходы на оплату услуг сторонних организаций по обеспечению безопасности функционирования объектов централизованных систем водоснабжения и водоотведения, в том числе расходы на защиту от террористических угроз</t>
  </si>
  <si>
    <t>1.2.</t>
  </si>
  <si>
    <t>1.2.1.</t>
  </si>
  <si>
    <t>Расходы на покупку электрической энергии</t>
  </si>
  <si>
    <t xml:space="preserve">Объем покупной энергии </t>
  </si>
  <si>
    <t>кВт-ч</t>
  </si>
  <si>
    <r>
      <t xml:space="preserve">Тариф на электрическую энергию </t>
    </r>
    <r>
      <rPr>
        <b/>
        <sz val="11"/>
        <rFont val="Times New Roman"/>
        <family val="1"/>
      </rPr>
      <t>(уровень напряжения)</t>
    </r>
  </si>
  <si>
    <t>руб./ кВт-ч</t>
  </si>
  <si>
    <t>1.2.2.</t>
  </si>
  <si>
    <t>Расходы на покупку мощности</t>
  </si>
  <si>
    <t xml:space="preserve">Мощность </t>
  </si>
  <si>
    <t>МВт в мес.</t>
  </si>
  <si>
    <r>
      <t xml:space="preserve">Ставка за мощность </t>
    </r>
    <r>
      <rPr>
        <b/>
        <sz val="11"/>
        <rFont val="Times New Roman"/>
        <family val="1"/>
      </rPr>
      <t>(уровень напряжения)</t>
    </r>
  </si>
  <si>
    <t>руб./ МВт в мес.</t>
  </si>
  <si>
    <t>1.3.</t>
  </si>
  <si>
    <t>1.3.1.</t>
  </si>
  <si>
    <t>Расходы на тепловую энергию</t>
  </si>
  <si>
    <t>объем тепловой энергии</t>
  </si>
  <si>
    <t>Гкал</t>
  </si>
  <si>
    <t>тариф на тепловую энергию</t>
  </si>
  <si>
    <t>руб./Гкал</t>
  </si>
  <si>
    <t>Расходы на горячую воду</t>
  </si>
  <si>
    <t>объем горячей воды</t>
  </si>
  <si>
    <t>тариф на горячую воду</t>
  </si>
  <si>
    <t>руб./куб. м</t>
  </si>
  <si>
    <t>Расходы на транспортировку воды</t>
  </si>
  <si>
    <t>объем транспортируемой воды</t>
  </si>
  <si>
    <t>тариф на транспортировку воды</t>
  </si>
  <si>
    <t>Расходы на покупку воды</t>
  </si>
  <si>
    <t>объем покупной воды</t>
  </si>
  <si>
    <t>тариф на воду</t>
  </si>
  <si>
    <t>Расходы на водоотведение</t>
  </si>
  <si>
    <t>объем услуги водоотведение</t>
  </si>
  <si>
    <t>тариф на водоотведение</t>
  </si>
  <si>
    <t xml:space="preserve">Расходы на транспортировку сточных вод </t>
  </si>
  <si>
    <t>объем транспортируемых сточных вод</t>
  </si>
  <si>
    <t xml:space="preserve">тариф на транспортировку сточных вод </t>
  </si>
  <si>
    <t>1.3.2.</t>
  </si>
  <si>
    <t>Расходы на уплату налогов, сборов и других обязательных платежей</t>
  </si>
  <si>
    <t>Налог на прибыль</t>
  </si>
  <si>
    <t>Налог на имущество организаций</t>
  </si>
  <si>
    <t>Земельный налог и арендная плата за землю</t>
  </si>
  <si>
    <t>Плата за пользование водным объектом</t>
  </si>
  <si>
    <t>Транспортный налог</t>
  </si>
  <si>
    <t>Плата за негативное воздействие на окружающую среду</t>
  </si>
  <si>
    <t>Прочие налоги и сборы:</t>
  </si>
  <si>
    <t>Единый налог, уплачиваемый организацией, применяющей упрощенную систему налогообложения</t>
  </si>
  <si>
    <t>Сбытовые расходы гарантирующей организации (расходы по сомнительным долгам (дебиторской задолженности)</t>
  </si>
  <si>
    <t>Амортизация</t>
  </si>
  <si>
    <t>Нормативная прибыль</t>
  </si>
  <si>
    <t>3.1.</t>
  </si>
  <si>
    <t>Расходы на капитальные вложения (инвестиции), определяемые в соответствии с утвержденными инвестиционными программами</t>
  </si>
  <si>
    <t>3.2.</t>
  </si>
  <si>
    <t>Средства на возврат займов и кредитов, привлекаемых на реализацию мероприятий инвестиционной программы, в размере, определяемом исходя из срока их возврата, предусмотренного договорами займа и кредитными договорами, а также проценты по таким займам и кредитам</t>
  </si>
  <si>
    <t>3.3.</t>
  </si>
  <si>
    <t>Расходы на выплаты, предусмотренные коллективными договорами, не учитываемые при определении налоговой базы налога на прибыль (расходы, относимые на прибыль после налогообложения)</t>
  </si>
  <si>
    <t>Расчетная предпринимательская прибыль гарантирующей организации</t>
  </si>
  <si>
    <t>По вышеприведенным основаниям.</t>
  </si>
  <si>
    <t>Определен исходя из заявленной необходимой валовой выручки и объема полезного отпуска услуг.</t>
  </si>
  <si>
    <t>Определен исходя из принятой необходимой валовой выручки и объема полезного отпуска услуг.</t>
  </si>
  <si>
    <t>Темп роста тарифа</t>
  </si>
  <si>
    <t>Ответственный за подготовку экспертного заключения</t>
  </si>
  <si>
    <t>Ф.И.О.</t>
  </si>
  <si>
    <t>Недополученные доходы/расходы прошлых периодов</t>
  </si>
  <si>
    <t>Экономически обоснованные расходы, не учтенные органом регулирования тарифов при установлении тарифов на ее товары (работы, услуги) в прошлом периоде</t>
  </si>
  <si>
    <t>Недополученные доходы прошлых периодов регулирования</t>
  </si>
  <si>
    <t>Расходы, связанные с обслуживанием заемных средств и собственных средств, направляемых на покрытие недостатка средств</t>
  </si>
  <si>
    <t>8.</t>
  </si>
  <si>
    <t>9.</t>
  </si>
  <si>
    <t>1.1.</t>
  </si>
  <si>
    <t>1.4.</t>
  </si>
  <si>
    <t>1.5.</t>
  </si>
  <si>
    <t>1.6.</t>
  </si>
  <si>
    <t>1.7.</t>
  </si>
  <si>
    <t>8.1.</t>
  </si>
  <si>
    <t>8.2.</t>
  </si>
  <si>
    <t>8.3.</t>
  </si>
  <si>
    <t>2.1.</t>
  </si>
  <si>
    <t>2.2.</t>
  </si>
  <si>
    <t>2.3.</t>
  </si>
  <si>
    <t>2.4.</t>
  </si>
  <si>
    <t>Расходы на приобретаемые электрическую энергию (мощность), тепловую энергию, другие виды энергетических ресурсов и холодную воду</t>
  </si>
  <si>
    <t>1.2.3.</t>
  </si>
  <si>
    <t>1.2.4.</t>
  </si>
  <si>
    <t>10.</t>
  </si>
  <si>
    <t>10.1.</t>
  </si>
  <si>
    <t>10.2.</t>
  </si>
  <si>
    <t>10.3.</t>
  </si>
  <si>
    <t>11.</t>
  </si>
  <si>
    <t>12.</t>
  </si>
  <si>
    <t>13.</t>
  </si>
  <si>
    <t>1.2.5.</t>
  </si>
  <si>
    <t>1.2.6.</t>
  </si>
  <si>
    <t>1.4.1.</t>
  </si>
  <si>
    <t>1.4.2.</t>
  </si>
  <si>
    <t>1.4.3.</t>
  </si>
  <si>
    <t>1.4.4.</t>
  </si>
  <si>
    <t>1.7.1.</t>
  </si>
  <si>
    <t>1.7.2.</t>
  </si>
  <si>
    <t>1.7.3.</t>
  </si>
  <si>
    <t>1.7.4.</t>
  </si>
  <si>
    <t>1.7.5.</t>
  </si>
  <si>
    <t>1.7.6.</t>
  </si>
  <si>
    <t>Пропущено сточных вод всего</t>
  </si>
  <si>
    <t>Собственные нужды</t>
  </si>
  <si>
    <t>Принято сточных вод от других канализаций</t>
  </si>
  <si>
    <t>Объем реализации услуг по потребителям всего, в том числе:</t>
  </si>
  <si>
    <t>1.3.3.</t>
  </si>
  <si>
    <t>Пропущено через собственные очистные сооружения</t>
  </si>
  <si>
    <t>Передано сточных вод другим канализациям:</t>
  </si>
  <si>
    <t>на очистные сооружения</t>
  </si>
  <si>
    <t>для транспортирования</t>
  </si>
  <si>
    <t>Сброшено стоков без очистки</t>
  </si>
  <si>
    <t>Расчет тарифа на водоотведение методом экономически обоснованных расходов (затрат)</t>
  </si>
  <si>
    <t>Расходы на текущий ремонт централизованных систем водоотведения либо объектов, входящих в состав таких систем</t>
  </si>
  <si>
    <t>Расходы на капитальный ремонт централизованных систем водоотведения либо объектов, входящих в состав таких систем</t>
  </si>
  <si>
    <t>Расходы на арендную плату, концессионную плату и лизинговые платежи в отношении централизованных систем одоотведения либо объектов, входящих в состав таких систем</t>
  </si>
  <si>
    <t>Расходы на обезвоживание, обезвреживание и захоронение осадка сточных вод</t>
  </si>
  <si>
    <t>Расходы на осуществление производственного контроля состава и свойств сточных вод, включая расходы на оборудование лабораторий, приобретение приборов и реагентов</t>
  </si>
  <si>
    <t>Расходы на оплату регулируемыми организациями выполняемых сторонними организациями работ и (или) услуг, связанных с эксплуатацией централизованных систем водоотведения либо объектов, входящих в состав таких систем</t>
  </si>
  <si>
    <t>Административные расходы за исключением расходов на оплату труда и страховых взносов административно-управленческого персонала:</t>
  </si>
  <si>
    <r>
      <rPr>
        <b/>
        <sz val="11"/>
        <rFont val="Times New Roman"/>
        <family val="1"/>
      </rPr>
      <t>2017 год</t>
    </r>
    <r>
      <rPr>
        <sz val="11"/>
        <rFont val="Times New Roman"/>
        <family val="1"/>
      </rPr>
      <t xml:space="preserve"> (утверждено дата и № НПА)</t>
    </r>
  </si>
  <si>
    <r>
      <rPr>
        <b/>
        <sz val="11"/>
        <rFont val="Times New Roman"/>
        <family val="1"/>
      </rPr>
      <t>2018 год</t>
    </r>
    <r>
      <rPr>
        <sz val="11"/>
        <rFont val="Times New Roman"/>
        <family val="1"/>
      </rPr>
      <t xml:space="preserve"> (утверждено дата и № НПА)</t>
    </r>
  </si>
  <si>
    <r>
      <t xml:space="preserve">Заявлено Предприятием </t>
    </r>
    <r>
      <rPr>
        <b/>
        <sz val="11"/>
        <rFont val="Times New Roman"/>
        <family val="1"/>
      </rPr>
      <t>на 2019 год</t>
    </r>
  </si>
  <si>
    <r>
      <t xml:space="preserve">По расчету экспертов </t>
    </r>
    <r>
      <rPr>
        <b/>
        <sz val="11"/>
        <rFont val="Times New Roman"/>
        <family val="1"/>
      </rPr>
      <t>на 2019 год</t>
    </r>
  </si>
  <si>
    <t>Основания, по которым произведен расчет экспертами</t>
  </si>
  <si>
    <t>Нормативы численности работников -канализационного хозяйства п.Листвянка</t>
  </si>
  <si>
    <t>1. Нормативы численности рабочих</t>
  </si>
  <si>
    <t>Нормативная численность,чел</t>
  </si>
  <si>
    <t xml:space="preserve">Явочная </t>
  </si>
  <si>
    <t>численность</t>
  </si>
  <si>
    <t>до 100</t>
  </si>
  <si>
    <t xml:space="preserve">хозяйства, утв. Приказом Минестерства по земельной политике, строительству и жилищно-коммунальному хозяйству </t>
  </si>
  <si>
    <t>тыс. куб. м/сут</t>
  </si>
  <si>
    <t>до 15</t>
  </si>
  <si>
    <t>2.1.8. Оперативное руководство эксплуатацией канализационных насосных станций</t>
  </si>
  <si>
    <t>Среднесписочная численность</t>
  </si>
  <si>
    <t>работающих на канализации, чел</t>
  </si>
  <si>
    <t>до 50</t>
  </si>
  <si>
    <t>1-2 чел</t>
  </si>
  <si>
    <t>2. Нормативы численности руководителей, специалистов и служащих</t>
  </si>
  <si>
    <t>2.1 Общие функции управления (п.2.1,табл 1)</t>
  </si>
  <si>
    <t>Наименование функций</t>
  </si>
  <si>
    <t>среднесписочная численность</t>
  </si>
  <si>
    <t>нормативная численность</t>
  </si>
  <si>
    <t>управления</t>
  </si>
  <si>
    <t>работников, чел</t>
  </si>
  <si>
    <t>чел</t>
  </si>
  <si>
    <t xml:space="preserve">до 100 </t>
  </si>
  <si>
    <t>1.Общее руководство</t>
  </si>
  <si>
    <t xml:space="preserve">2. Бухгалтерский учет и </t>
  </si>
  <si>
    <t>финансовая деятельность</t>
  </si>
  <si>
    <t>4-5 чел</t>
  </si>
  <si>
    <t>3.Комлектование и учет</t>
  </si>
  <si>
    <t>кадров</t>
  </si>
  <si>
    <t>4.Материально-техническое</t>
  </si>
  <si>
    <t>снабжение</t>
  </si>
  <si>
    <t xml:space="preserve">5.Общее делопроизводство </t>
  </si>
  <si>
    <t>и хозяйственное обслуживание</t>
  </si>
  <si>
    <t>6.Организация технической</t>
  </si>
  <si>
    <t>эксплуатации систем водо-</t>
  </si>
  <si>
    <t>снабжения и канализации</t>
  </si>
  <si>
    <t>7.Охрана окружающей среды</t>
  </si>
  <si>
    <t>8.Охрана труда</t>
  </si>
  <si>
    <t>9.Правовое обслуживание</t>
  </si>
  <si>
    <t>10.Технико-экономическое</t>
  </si>
  <si>
    <t>планирование, организация</t>
  </si>
  <si>
    <t>труда и заработной платы</t>
  </si>
  <si>
    <t>Итого</t>
  </si>
  <si>
    <t>Должность</t>
  </si>
  <si>
    <t>Кол-во шт.ед</t>
  </si>
  <si>
    <t>Тарифная ставка</t>
  </si>
  <si>
    <t>З/пл в мес</t>
  </si>
  <si>
    <t>Премия</t>
  </si>
  <si>
    <t>Вредность</t>
  </si>
  <si>
    <t>Празд</t>
  </si>
  <si>
    <t>Ночн</t>
  </si>
  <si>
    <t>РК</t>
  </si>
  <si>
    <t>СН</t>
  </si>
  <si>
    <t>Всего мес</t>
  </si>
  <si>
    <t>Всего год</t>
  </si>
  <si>
    <t>Лаборант</t>
  </si>
  <si>
    <t>Пробоотборщик</t>
  </si>
  <si>
    <t>Наименование спецодежды</t>
  </si>
  <si>
    <t>Срок носки</t>
  </si>
  <si>
    <t>Кол-во спецодежды с учетом носки</t>
  </si>
  <si>
    <t>Цена с НДС</t>
  </si>
  <si>
    <t>Цена без НДС</t>
  </si>
  <si>
    <t>Сумма</t>
  </si>
  <si>
    <t>до износа</t>
  </si>
  <si>
    <t>Валенки с резин.низом</t>
  </si>
  <si>
    <t>Очки защитные</t>
  </si>
  <si>
    <t>№</t>
  </si>
  <si>
    <t xml:space="preserve">Цеховые расходы </t>
  </si>
  <si>
    <t>п/п</t>
  </si>
  <si>
    <t>Статья расходов</t>
  </si>
  <si>
    <t>Предложение Предприятия</t>
  </si>
  <si>
    <t>По расчету экспертов Службы на 2015 год</t>
  </si>
  <si>
    <t>Обоснование</t>
  </si>
  <si>
    <t>Расходы на оплату труда цехового персонала</t>
  </si>
  <si>
    <t>Представлены штатные расписания цехового и основного производственного персонала Предприятия на 2015 год.</t>
  </si>
  <si>
    <t>Нормативная численность принята согласно расчету экспертов Службы в соответствии с приказом Госстроя РФ от 12 октября 1999 года N 74 «Об утверждении нормативов численности руководителей, специалистов и служащих коммунальных теплоэнергетических предприятий" с учетом принятой экспертами Службы нормативной численности масторов (1,32 ставки). Эксперты Службы провели анализ представленного расчета среднемесячной заработной платы. Учитывая, что все заявленные выплаты и доплаты не превышают соответствующие выплаты по отраслевому тарифному соглашению в сфере ЖКХ на 2014 - 2016 годы, а также среднюю заработную плату основных производственных рабочих с применением ИПЦ на 2015 год по Предприятию, ранее эксплуатировавшему теплоисточник, принимается предложение Предприятия.</t>
  </si>
  <si>
    <t>Отчисления - 30,2%</t>
  </si>
  <si>
    <t>Отчисления на социальные нужды - 30,2%</t>
  </si>
  <si>
    <t>Принят в соответствии с Федеральным Законом от 24.07.2009 № 212-ФЗ "О страховых взносах в ПФ РФ, ФСС РФ, ФФОМС" на основании представленного уведомления о размере страховых взносов на обязательное социальное страхование от несчастных случаев на производстве и профессиональных заболеваний.</t>
  </si>
  <si>
    <t>Затраты на ГСМ</t>
  </si>
  <si>
    <t>Согласно приказу №6 от 3.09.  2015 г. при работе на собственном транспорте</t>
  </si>
  <si>
    <t>Расходы исключены как экономически не обоснованные.</t>
  </si>
  <si>
    <t>Услуги связи</t>
  </si>
  <si>
    <t>Ростелеком</t>
  </si>
  <si>
    <t xml:space="preserve">Расчет и обоснование необходимости расходов на сотовую связь не представлены. Договор на предоставление услуг связи отсутствует. Учитывая производственную необходимость, приняты расходы в размере абонентской платы за стационарную связь, согласно тарифам на услуги местной связи и тарифного плана "Безлимитный" ОАО "Ростелеком", действующие на 01.05.2014 года и расчета на 2 стационарный телефона. Согласно официальной информации ОАО "Ростелеком"безлимитный тариф составляет 470,0 руб./месяц. </t>
  </si>
  <si>
    <t>Охрана труда и техника безопасности</t>
  </si>
  <si>
    <t>1) Заявлены расходы на спец одежду, мыло хозяйственное. Представлен договор поставки с ИП Василевским А.В., заключенный в результате проведения открытого конкурса; 2) Заявлены расходы на прохождение медкомиссии. Представлен договор по проведению предварительных и периодических медицинских осмотров, заключенный с ОАО Международный аэропорт Иркутск в результате проведения открытого конкурса, список профессий, подлежащих периодическим осмотрам.</t>
  </si>
  <si>
    <r>
      <t>1) Расчет расходов на спец. одежду произведен экспертами Службы в соответствиии с принятой нормативной численностью работников, а также исходя из нормы выдачи специальной одежды на одного работника согласно приказу Минздравсоцразвития России от 09.12.2014N 997н; 2) На основании приказа от 12.04.2011 г. N 302н периодические осмотры проводятся в соответствии поименными списками, которые разработанны на основании контингентов работников. Включению в списки контингента и поименные списки подлежат  работники, подвергающиеся воздействию вредных производственных факторов, указанных в Перечне факторов, а также вредных производственных факторов, наличие которых установлено по результатам аттестации рабочих мест по условиям труда, проведенной в установленном порядке .Утвержденные в соответствующем порядке списки контингента, результаты аттестации рабочих мест по данным профессиям Предприятием не представлены. Учитывая необходимость проведения медицинских осмотров, в расчёт приняты затраты на медицинский осмотр в количестве 1,32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чел. исходя из нормативной численности; 3) Не представлен нормативный акт предприятия , закрепляющий нормы и порядок бесплатной выдачи смывающих средств, в связи с этим у экспертов отсутствует возможность расчитать экономически обоснованные расходы по данной статье.</t>
    </r>
  </si>
  <si>
    <t>Специальная оценка условий труда</t>
  </si>
  <si>
    <t>договор от 09.11.2015 № 9/СК.</t>
  </si>
  <si>
    <t>Расходы приняты исходя из нормативной численности цехового персонала, рассчинной Службой в количестве 1,32 ставки, и стоимости оценки одного рабочего места согласно представленному договору от 09.11.2015 № 9/СК, заключенному в результате проведения торгов.</t>
  </si>
  <si>
    <t xml:space="preserve">Обучение </t>
  </si>
  <si>
    <t>договор от 11.11.2015 №10/СК.</t>
  </si>
  <si>
    <t>Расходы, заявленные Предприятием не могут быть признаны экономически обоснованными по следующим основаниям: не представлено обоснование необходимости заявленных расходов а также обоснование расходов в соответствии с пунктом 28 Основ ценообразования в том числе договор на оказание образовательных услуг на 2015 год, заключенный по результатам проведенных торгов. Расходы исключены в полном объеме.</t>
  </si>
  <si>
    <t xml:space="preserve">Итого цеховые расходы </t>
  </si>
  <si>
    <t>-</t>
  </si>
  <si>
    <t>Распред.</t>
  </si>
  <si>
    <t>мазутная</t>
  </si>
  <si>
    <t>угольная</t>
  </si>
  <si>
    <t xml:space="preserve">Расшифровка общехозяйственных расходов </t>
  </si>
  <si>
    <t>Заработная плата АУП</t>
  </si>
  <si>
    <t>Представлено штатное расписание с 1 января  2016 года.</t>
  </si>
  <si>
    <t>Расходы рассмотрены по статье "Заработная плата АУП".</t>
  </si>
  <si>
    <t>Отчисления на соц. нужды</t>
  </si>
  <si>
    <t>Аренда кабинетов</t>
  </si>
  <si>
    <t>Представлен договор аренды недвижимого имущества № 17/СК от 23.11.2015 г. (заключен в результате проведения торгов).</t>
  </si>
  <si>
    <t xml:space="preserve">В соответствии с пп. 3 п.25 Основ ценообразования к административным расходам относится, в том числе арендная платая. не связанная с арендой централизованных систем водоснабжения и водоотведения. Расходы приняты в размере, определенной по результатам торгов, проведенных торгов (открытый конкурс), извещение  № 315 29 7618 в доле, относимой на деятельность по оказанию услуг водоснабжения и водоотведения. </t>
  </si>
  <si>
    <t>Расходы на транспорт,  в  том числе:</t>
  </si>
  <si>
    <t>4.1</t>
  </si>
  <si>
    <t xml:space="preserve"> на оплату труда водителя</t>
  </si>
  <si>
    <t>Расходы приняты  по предложению Предприятия в доле, относимой на деятельность по оказанию услуг водоснабжения и водоотведения. .</t>
  </si>
  <si>
    <t>числе отчисления на соц. Нужды</t>
  </si>
  <si>
    <t>Расчет произведен экспертами Службы исходя из принятого ФОТ и суммарной ставки отчислений  в размере 30,2%</t>
  </si>
  <si>
    <t>4.2</t>
  </si>
  <si>
    <t>Представлен договор аренды транспортных средств без экипажа (заключен в результате проведения торгов) расчет потребности в горюче-смазочных материалах (далее - ГСМ), договор от 13.11.2015 г. № 14/СК-2 и № 14/СК-3 от 13.11.2015 г. (заключен в результате проведения торгов).</t>
  </si>
  <si>
    <t>4.3</t>
  </si>
  <si>
    <t xml:space="preserve">Затраты на  ГСМ </t>
  </si>
  <si>
    <t xml:space="preserve">Согласно договору  аренды транспортных средств без экипажа Заявлены расходы на ГСМ для арендуемых автомобилей без экипажа. </t>
  </si>
  <si>
    <t xml:space="preserve">Согласно договору №16121 от 01.10.2015 г.Сумма затрат в месяц 4437,98 руб  </t>
  </si>
  <si>
    <t xml:space="preserve">Расходы приняты  по предложению Предприятия. </t>
  </si>
  <si>
    <t>Канцелярия</t>
  </si>
  <si>
    <t>Представлен расчет расходов на канцелярские товары для общехозяйственного и цехового персонала, договор от 30.11.15 № 20/СК (заключен в результате проведения торгов).</t>
  </si>
  <si>
    <t>Обслуживание компьютеров</t>
  </si>
  <si>
    <t>Исключены в связи с отсутствием обоснования.</t>
  </si>
  <si>
    <t>Заправка картриджей</t>
  </si>
  <si>
    <t>Расходы приняты по предложению Предприятия.</t>
  </si>
  <si>
    <t xml:space="preserve">ИТОГО </t>
  </si>
  <si>
    <t xml:space="preserve">                                       Распределение общехозяйственных расходов</t>
  </si>
  <si>
    <t>з/плата     угольная котельная</t>
  </si>
  <si>
    <t>з/плата     мазутная  котельная</t>
  </si>
  <si>
    <t xml:space="preserve">з/плата     т/сети  от "Иркутскэнерго"  </t>
  </si>
  <si>
    <t xml:space="preserve">з/плата     т/сети  от "Байкал - Отель" </t>
  </si>
  <si>
    <t>Итого з/плата</t>
  </si>
  <si>
    <t>ВС</t>
  </si>
  <si>
    <t>ВО трансп</t>
  </si>
  <si>
    <t>ВО очистка</t>
  </si>
  <si>
    <t>итого</t>
  </si>
  <si>
    <t>Директор</t>
  </si>
  <si>
    <t>Главный инженер</t>
  </si>
  <si>
    <t>Главный бухгалтер</t>
  </si>
  <si>
    <t>Водитель</t>
  </si>
  <si>
    <t>ВСЕГО</t>
  </si>
  <si>
    <t>Представлено  штатное расписание с 1  января 2019 года.</t>
  </si>
  <si>
    <t>Расходы на автотранспорт</t>
  </si>
  <si>
    <t>Договор не предоставлен</t>
  </si>
  <si>
    <t>Расходы на охрану очистных сооружений</t>
  </si>
  <si>
    <t>Расчет экспертов администрации</t>
  </si>
  <si>
    <t>расчетная численность</t>
  </si>
  <si>
    <t>принято в расчет</t>
  </si>
  <si>
    <t>ОЧИСТКА</t>
  </si>
  <si>
    <t>Производительность очистных сооружений в год</t>
  </si>
  <si>
    <t>Производительность очистных сооружений в сутки</t>
  </si>
  <si>
    <t>Очистные сооружения канализации (п 2.2.13.)</t>
  </si>
  <si>
    <t xml:space="preserve">  Решетки (п.2.2.13.1 таблица  27)</t>
  </si>
  <si>
    <t>Профессия: оператор на решетке</t>
  </si>
  <si>
    <t>Производительность очистных сооружений</t>
  </si>
  <si>
    <t>Решетки с ручной очисткой до 15</t>
  </si>
  <si>
    <t>табл.27</t>
  </si>
  <si>
    <t>Песколовки, оператор</t>
  </si>
  <si>
    <t>табл.28</t>
  </si>
  <si>
    <t>Двухярустные отстойники</t>
  </si>
  <si>
    <t>табл.29</t>
  </si>
  <si>
    <t>Первичные отстойники</t>
  </si>
  <si>
    <t>табл.30</t>
  </si>
  <si>
    <t>Биофильтры и аэрофильтры</t>
  </si>
  <si>
    <t>табл.31</t>
  </si>
  <si>
    <t>биологическая?</t>
  </si>
  <si>
    <t>Аэротенки</t>
  </si>
  <si>
    <t>табл.32</t>
  </si>
  <si>
    <t>Вторичные отстойники</t>
  </si>
  <si>
    <t>табл.33</t>
  </si>
  <si>
    <t>Насосные  и воздуходувные станции</t>
  </si>
  <si>
    <t>табл.34</t>
  </si>
  <si>
    <t>Поля фильтрации</t>
  </si>
  <si>
    <t>табл.35</t>
  </si>
  <si>
    <t>Иловые площадки</t>
  </si>
  <si>
    <t>табл.36</t>
  </si>
  <si>
    <t>Метантенки</t>
  </si>
  <si>
    <t>табл.37</t>
  </si>
  <si>
    <t>Установка по механическому обезвоживанию осадка</t>
  </si>
  <si>
    <t>свыше 15</t>
  </si>
  <si>
    <t>табл.36(1)</t>
  </si>
  <si>
    <t>Установка по термической сушке осадка</t>
  </si>
  <si>
    <t>табл.38</t>
  </si>
  <si>
    <t>Сооружение глубокой очистки</t>
  </si>
  <si>
    <t>до 5</t>
  </si>
  <si>
    <t>табл.39</t>
  </si>
  <si>
    <t>биореактор</t>
  </si>
  <si>
    <t>Хлораторные установки</t>
  </si>
  <si>
    <t>табл.40</t>
  </si>
  <si>
    <t>Ультрафиолетовые установки</t>
  </si>
  <si>
    <t>табл.41</t>
  </si>
  <si>
    <t xml:space="preserve">* Примечание: Согласно п. 6.1.4. Правил по охране труда при эксплуатации коммунального  водопроводного-канализационного </t>
  </si>
  <si>
    <t>№93 от 22.09.1998г (Минимальная численность при работе по очистке решеток в каналах  - 3 человека)</t>
  </si>
  <si>
    <t>Контроль качества сточных вод</t>
  </si>
  <si>
    <t>пробоотборщик</t>
  </si>
  <si>
    <t>табл.42</t>
  </si>
  <si>
    <t>лаборант</t>
  </si>
  <si>
    <t>Нормативная численность рабочих канализационного хозяйства Водоотведение</t>
  </si>
  <si>
    <t>Професси: Начальник цеха, участка, канализационной насосной станции, инженер, техник, мастер.</t>
  </si>
  <si>
    <t xml:space="preserve">Нормативная численность всех работников канализационного хозяйства Водоотведение </t>
  </si>
  <si>
    <t>Водоотведение</t>
  </si>
  <si>
    <t>Начальник КОС</t>
  </si>
  <si>
    <t>Мастер КОС</t>
  </si>
  <si>
    <t>Инженер-технолог</t>
  </si>
  <si>
    <t>Дворник</t>
  </si>
  <si>
    <t>Уборщик производственных помещений</t>
  </si>
  <si>
    <t>Оператор на решетках</t>
  </si>
  <si>
    <t>Оператор на песколовках</t>
  </si>
  <si>
    <t>Оператор на отстойниках</t>
  </si>
  <si>
    <t>Оператор на фильтрах</t>
  </si>
  <si>
    <t>Оператор на аэротенках</t>
  </si>
  <si>
    <t>Оператор сооружений по удалению осадка</t>
  </si>
  <si>
    <t>Машинист насосных установок</t>
  </si>
  <si>
    <t>Слесарь по КИПиА</t>
  </si>
  <si>
    <t>Электромонтер по ремонту и обслуживанию электрооборудования</t>
  </si>
  <si>
    <t>Оператор на иловых площадках</t>
  </si>
  <si>
    <t>Слесарь-ремонтник</t>
  </si>
  <si>
    <t>Бухгалтер-кассир</t>
  </si>
  <si>
    <t>Юрист</t>
  </si>
  <si>
    <t>Эколог</t>
  </si>
  <si>
    <t>Экономист</t>
  </si>
  <si>
    <t>Костюм для защиты от общих производственных загрязнений и механических воздействий</t>
  </si>
  <si>
    <t>Перчатки с полимерным покрытием</t>
  </si>
  <si>
    <t>Средство индивидуальной защиты органов дыхания фильтрующее</t>
  </si>
  <si>
    <t>Костюм для защиты от общих производственных загрязнений и механических воздействий на утепляющей прокладке</t>
  </si>
  <si>
    <t>Ботинки кожанные утепленные с защитным подноском</t>
  </si>
  <si>
    <t>Лаборант, пробоотборщик</t>
  </si>
  <si>
    <t>Фартук из полимерных материалов с нагрудником</t>
  </si>
  <si>
    <t>Перчатки резиновые или из полимерных материалов</t>
  </si>
  <si>
    <t>дежурный</t>
  </si>
  <si>
    <t>Оператор</t>
  </si>
  <si>
    <t>Сапоги резиновые с защитным подноском</t>
  </si>
  <si>
    <t>дворник, уборщица</t>
  </si>
  <si>
    <t>Боты или галоши диэлектрические</t>
  </si>
  <si>
    <t>Перчатки диэлектрические</t>
  </si>
  <si>
    <t>Слесарь КИПиА</t>
  </si>
  <si>
    <t>Листвянского муниципального образования Иркутского района района</t>
  </si>
  <si>
    <t xml:space="preserve"> для потребителей ООО "Сибирская Строительная Компания", оказывающего услуги водоотведения (очистки сточных вод) на территории</t>
  </si>
  <si>
    <t>принято по расчету предприятия</t>
  </si>
  <si>
    <t>По вышеприведенным основаниям</t>
  </si>
  <si>
    <t xml:space="preserve">Расходы приняты с учетом корректировки доплаты за вредность и премии. В соответствии со статьей 146 ТК РФ минимальный размер повышения оплаты труда работникам, занятым на  работах с вредными условиями труда , составляет 4% тарифной ставки. Расходы приняты с учетом выплаты надбавки за вредные условия труда в размере 4%, вместо 8%, учтенных Предприятием в связи с отсутствием основания выплаты надбавки за вредность в большем размере (отсутствует аттестация рабочих мест).Сумма премии исключена из фонда оплаты труда. </t>
  </si>
  <si>
    <t>Принята в соответствии со штатным расписанием и рекомендациями утвержденными приказом Госстроя России от 22.03.1999г №66</t>
  </si>
  <si>
    <t>Расходы приняты в размере 30,2% от фонда оплаты труда.</t>
  </si>
  <si>
    <t>Приняты по расчету Предприятия.</t>
  </si>
  <si>
    <t>Принята в соответствии со штатным расписанием и рекомендациями, утвержденными приказом Госстроя России от 22.03.1999 № 66.</t>
  </si>
  <si>
    <t>Не приняты в связи с отсутствием основания</t>
  </si>
  <si>
    <t>Среднемесячная заработная плата согласно штатному расписанию</t>
  </si>
  <si>
    <t>Расходы приняты согласно инвестиционной программы</t>
  </si>
  <si>
    <t>представлено штатное расписание основного персонала</t>
  </si>
  <si>
    <t>предоставлено штатное расписание</t>
  </si>
  <si>
    <t>представлена инвестиционная программа</t>
  </si>
  <si>
    <t xml:space="preserve">Представлен договор подряда №019/Б/19 от 07.03.2019г. </t>
  </si>
  <si>
    <t xml:space="preserve">Представлен договор  №55-19 от 18.03.2019г. </t>
  </si>
  <si>
    <t xml:space="preserve">Расходы приняты по расчету Предприятия </t>
  </si>
  <si>
    <t>Предоставлены расчет СИЗ для работников, прайс листы на спецодежду : Авангард, Техноавиа, ТД Тракт; выкипировка из интернет ресурса на стоимость мыла</t>
  </si>
  <si>
    <t xml:space="preserve">Расходы на приобретение спецодежды приняты по расчету Предприятия исходя из скорректированной численности персонала. </t>
  </si>
  <si>
    <t>Представлен локальный ресурсный сметный расчет на текущий ремонт КОС на територии Листвянского МО</t>
  </si>
  <si>
    <t>Из сметы исключены расходы на НДС</t>
  </si>
  <si>
    <t>Представлены: 1.) приказ б/н от 21.03.2019г. Об утверждении лимита на мобильную связь, 2) расчет затрат на канцелярские принадлежности, типографские расходы, 3) расчет затрат на хоз.товары, 4.)договоры аренды транспортного средства без экипажа с физическим лицом от 01.04.2019, 5) расчет затрат на ГСМ на автотранспорт, 6)  расчет затрат на приобретение мебели и оргтехники</t>
  </si>
  <si>
    <t>Расходы приняты по расчету Предприятия за исключением расходов на связь и за вычетом НДС</t>
  </si>
  <si>
    <t>Представлен договор аренды земельного участка б/н от 20.03.2019г.</t>
  </si>
  <si>
    <t>Расходы приняты по расчету предприятия</t>
  </si>
  <si>
    <t>Представлены коммерческие предложения ФГБУ ЦЛАТИ, ООО "Северное", Иркуткинтерэко</t>
  </si>
  <si>
    <t>Расходы приняты по наименьшей цене</t>
  </si>
  <si>
    <t>Г.А.Савельева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</si>
</sst>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_ ;\-#,##0.0\ "/>
    <numFmt numFmtId="181" formatCode="0.0%"/>
    <numFmt numFmtId="182" formatCode="#,##0.00_ ;\-#,##0.00\ "/>
    <numFmt numFmtId="183" formatCode="0.0"/>
    <numFmt numFmtId="184" formatCode="#,##0.0"/>
    <numFmt numFmtId="185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2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/>
      <protection/>
    </xf>
    <xf numFmtId="180" fontId="2" fillId="33" borderId="11" xfId="61" applyNumberFormat="1" applyFont="1" applyFill="1" applyBorder="1" applyAlignment="1" applyProtection="1">
      <alignment horizontal="center" vertical="center"/>
      <protection/>
    </xf>
    <xf numFmtId="180" fontId="2" fillId="0" borderId="11" xfId="61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180" fontId="2" fillId="0" borderId="11" xfId="61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180" fontId="2" fillId="0" borderId="11" xfId="61" applyNumberFormat="1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2"/>
      <protection locked="0"/>
    </xf>
    <xf numFmtId="0" fontId="2" fillId="33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Border="1" applyAlignment="1" applyProtection="1">
      <alignment horizontal="left" vertical="center" wrapText="1" indent="2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16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 wrapText="1" indent="1"/>
      <protection locked="0"/>
    </xf>
    <xf numFmtId="0" fontId="2" fillId="0" borderId="11" xfId="0" applyFont="1" applyBorder="1" applyAlignment="1" applyProtection="1">
      <alignment horizontal="left" vertical="center" wrapText="1" indent="3"/>
      <protection locked="0"/>
    </xf>
    <xf numFmtId="0" fontId="2" fillId="0" borderId="11" xfId="0" applyFont="1" applyFill="1" applyBorder="1" applyAlignment="1" applyProtection="1">
      <alignment horizontal="left" vertical="center" wrapText="1" indent="3"/>
      <protection locked="0"/>
    </xf>
    <xf numFmtId="0" fontId="2" fillId="34" borderId="11" xfId="0" applyFont="1" applyFill="1" applyBorder="1" applyAlignment="1" applyProtection="1">
      <alignment horizontal="left" vertical="center" wrapText="1" indent="2"/>
      <protection locked="0"/>
    </xf>
    <xf numFmtId="0" fontId="2" fillId="34" borderId="11" xfId="0" applyFont="1" applyFill="1" applyBorder="1" applyAlignment="1" applyProtection="1">
      <alignment horizontal="left" vertical="center" wrapText="1" indent="3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 indent="2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left" vertical="center"/>
      <protection/>
    </xf>
    <xf numFmtId="182" fontId="7" fillId="33" borderId="11" xfId="61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 locked="0"/>
    </xf>
    <xf numFmtId="180" fontId="2" fillId="33" borderId="11" xfId="61" applyNumberFormat="1" applyFont="1" applyFill="1" applyBorder="1" applyAlignment="1" applyProtection="1">
      <alignment horizontal="left" vertical="top" wrapText="1"/>
      <protection locked="0"/>
    </xf>
    <xf numFmtId="14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81" fontId="2" fillId="0" borderId="11" xfId="58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 indent="3"/>
      <protection locked="0"/>
    </xf>
    <xf numFmtId="180" fontId="2" fillId="0" borderId="11" xfId="61" applyNumberFormat="1" applyFont="1" applyFill="1" applyBorder="1" applyAlignment="1" applyProtection="1">
      <alignment horizontal="center" vertical="center"/>
      <protection/>
    </xf>
    <xf numFmtId="183" fontId="2" fillId="0" borderId="11" xfId="58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 wrapText="1"/>
      <protection locked="0"/>
    </xf>
    <xf numFmtId="9" fontId="2" fillId="0" borderId="11" xfId="58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9" fontId="2" fillId="19" borderId="11" xfId="58" applyFont="1" applyFill="1" applyBorder="1" applyAlignment="1" applyProtection="1">
      <alignment horizontal="center" vertical="center" wrapText="1"/>
      <protection locked="0"/>
    </xf>
    <xf numFmtId="9" fontId="2" fillId="13" borderId="11" xfId="58" applyFont="1" applyFill="1" applyBorder="1" applyAlignment="1" applyProtection="1">
      <alignment horizontal="center" vertical="center" wrapText="1"/>
      <protection locked="0"/>
    </xf>
    <xf numFmtId="0" fontId="0" fillId="0" borderId="0" xfId="53">
      <alignment/>
      <protection/>
    </xf>
    <xf numFmtId="0" fontId="5" fillId="0" borderId="0" xfId="53" applyFont="1">
      <alignment/>
      <protection/>
    </xf>
    <xf numFmtId="0" fontId="9" fillId="0" borderId="0" xfId="53" applyFont="1">
      <alignment/>
      <protection/>
    </xf>
    <xf numFmtId="0" fontId="10" fillId="0" borderId="0" xfId="53" applyFont="1" applyAlignment="1">
      <alignment horizontal="center"/>
      <protection/>
    </xf>
    <xf numFmtId="0" fontId="5" fillId="0" borderId="12" xfId="53" applyFont="1" applyBorder="1">
      <alignment/>
      <protection/>
    </xf>
    <xf numFmtId="0" fontId="5" fillId="0" borderId="13" xfId="53" applyFont="1" applyBorder="1">
      <alignment/>
      <protection/>
    </xf>
    <xf numFmtId="0" fontId="5" fillId="0" borderId="14" xfId="53" applyFont="1" applyBorder="1">
      <alignment/>
      <protection/>
    </xf>
    <xf numFmtId="0" fontId="5" fillId="0" borderId="12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0" fontId="5" fillId="0" borderId="15" xfId="53" applyFont="1" applyBorder="1">
      <alignment/>
      <protection/>
    </xf>
    <xf numFmtId="0" fontId="5" fillId="0" borderId="16" xfId="53" applyFont="1" applyBorder="1">
      <alignment/>
      <protection/>
    </xf>
    <xf numFmtId="0" fontId="5" fillId="0" borderId="17" xfId="53" applyFont="1" applyBorder="1">
      <alignment/>
      <protection/>
    </xf>
    <xf numFmtId="0" fontId="5" fillId="0" borderId="15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0" fontId="5" fillId="0" borderId="18" xfId="53" applyFont="1" applyFill="1" applyBorder="1">
      <alignment/>
      <protection/>
    </xf>
    <xf numFmtId="0" fontId="5" fillId="0" borderId="19" xfId="53" applyFont="1" applyBorder="1">
      <alignment/>
      <protection/>
    </xf>
    <xf numFmtId="0" fontId="5" fillId="0" borderId="11" xfId="53" applyFont="1" applyBorder="1" applyAlignment="1">
      <alignment horizontal="center"/>
      <protection/>
    </xf>
    <xf numFmtId="0" fontId="5" fillId="0" borderId="0" xfId="53" applyFont="1" applyAlignment="1">
      <alignment/>
      <protection/>
    </xf>
    <xf numFmtId="0" fontId="5" fillId="0" borderId="0" xfId="53" applyFont="1" applyAlignment="1">
      <alignment horizontal="left"/>
      <protection/>
    </xf>
    <xf numFmtId="0" fontId="5" fillId="0" borderId="18" xfId="53" applyFont="1" applyBorder="1" applyAlignment="1">
      <alignment/>
      <protection/>
    </xf>
    <xf numFmtId="0" fontId="5" fillId="0" borderId="19" xfId="53" applyFont="1" applyBorder="1" applyAlignment="1">
      <alignment/>
      <protection/>
    </xf>
    <xf numFmtId="0" fontId="5" fillId="0" borderId="20" xfId="53" applyFont="1" applyBorder="1" applyAlignment="1">
      <alignment/>
      <protection/>
    </xf>
    <xf numFmtId="0" fontId="5" fillId="0" borderId="0" xfId="53" applyFont="1" applyBorder="1" applyAlignment="1">
      <alignment/>
      <protection/>
    </xf>
    <xf numFmtId="16" fontId="5" fillId="0" borderId="0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5" fillId="0" borderId="13" xfId="53" applyFont="1" applyBorder="1" applyAlignment="1">
      <alignment horizontal="center"/>
      <protection/>
    </xf>
    <xf numFmtId="2" fontId="5" fillId="0" borderId="0" xfId="53" applyNumberFormat="1" applyFont="1" applyBorder="1" applyAlignment="1">
      <alignment horizontal="center"/>
      <protection/>
    </xf>
    <xf numFmtId="0" fontId="5" fillId="0" borderId="19" xfId="53" applyFont="1" applyBorder="1" applyAlignment="1">
      <alignment horizontal="center"/>
      <protection/>
    </xf>
    <xf numFmtId="183" fontId="4" fillId="0" borderId="0" xfId="53" applyNumberFormat="1" applyFont="1" applyBorder="1" applyAlignment="1">
      <alignment horizontal="center"/>
      <protection/>
    </xf>
    <xf numFmtId="0" fontId="5" fillId="0" borderId="16" xfId="53" applyFont="1" applyBorder="1" applyAlignment="1">
      <alignment horizontal="center"/>
      <protection/>
    </xf>
    <xf numFmtId="0" fontId="5" fillId="0" borderId="0" xfId="53" applyFont="1" applyBorder="1">
      <alignment/>
      <protection/>
    </xf>
    <xf numFmtId="183" fontId="5" fillId="0" borderId="0" xfId="53" applyNumberFormat="1" applyFont="1" applyBorder="1" applyAlignment="1">
      <alignment/>
      <protection/>
    </xf>
    <xf numFmtId="2" fontId="4" fillId="0" borderId="0" xfId="53" applyNumberFormat="1" applyFont="1" applyBorder="1" applyAlignment="1">
      <alignment horizontal="center"/>
      <protection/>
    </xf>
    <xf numFmtId="183" fontId="5" fillId="0" borderId="0" xfId="53" applyNumberFormat="1" applyFont="1" applyBorder="1" applyAlignment="1">
      <alignment horizontal="center"/>
      <protection/>
    </xf>
    <xf numFmtId="0" fontId="5" fillId="0" borderId="15" xfId="53" applyFont="1" applyBorder="1" applyAlignment="1">
      <alignment/>
      <protection/>
    </xf>
    <xf numFmtId="0" fontId="5" fillId="0" borderId="17" xfId="53" applyFont="1" applyBorder="1" applyAlignment="1">
      <alignment/>
      <protection/>
    </xf>
    <xf numFmtId="0" fontId="5" fillId="0" borderId="18" xfId="53" applyFont="1" applyBorder="1">
      <alignment/>
      <protection/>
    </xf>
    <xf numFmtId="0" fontId="5" fillId="0" borderId="20" xfId="53" applyFont="1" applyBorder="1">
      <alignment/>
      <protection/>
    </xf>
    <xf numFmtId="0" fontId="5" fillId="0" borderId="12" xfId="53" applyFont="1" applyFill="1" applyBorder="1">
      <alignment/>
      <protection/>
    </xf>
    <xf numFmtId="0" fontId="5" fillId="0" borderId="15" xfId="53" applyFont="1" applyFill="1" applyBorder="1">
      <alignment/>
      <protection/>
    </xf>
    <xf numFmtId="0" fontId="5" fillId="0" borderId="21" xfId="53" applyFont="1" applyFill="1" applyBorder="1">
      <alignment/>
      <protection/>
    </xf>
    <xf numFmtId="0" fontId="5" fillId="0" borderId="22" xfId="53" applyFont="1" applyBorder="1">
      <alignment/>
      <protection/>
    </xf>
    <xf numFmtId="0" fontId="5" fillId="0" borderId="10" xfId="53" applyFont="1" applyBorder="1" applyAlignment="1">
      <alignment horizontal="center"/>
      <protection/>
    </xf>
    <xf numFmtId="0" fontId="5" fillId="0" borderId="23" xfId="53" applyFont="1" applyBorder="1" applyAlignment="1">
      <alignment horizontal="center"/>
      <protection/>
    </xf>
    <xf numFmtId="0" fontId="5" fillId="0" borderId="24" xfId="53" applyFont="1" applyBorder="1" applyAlignment="1">
      <alignment horizontal="center"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21" xfId="53" applyFont="1" applyBorder="1" applyAlignment="1">
      <alignment horizontal="center"/>
      <protection/>
    </xf>
    <xf numFmtId="0" fontId="5" fillId="0" borderId="0" xfId="53" applyFont="1" applyFill="1" applyBorder="1">
      <alignment/>
      <protection/>
    </xf>
    <xf numFmtId="0" fontId="4" fillId="0" borderId="0" xfId="53" applyFont="1">
      <alignment/>
      <protection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 wrapText="1"/>
    </xf>
    <xf numFmtId="0" fontId="41" fillId="0" borderId="11" xfId="0" applyFont="1" applyBorder="1" applyAlignment="1">
      <alignment/>
    </xf>
    <xf numFmtId="0" fontId="51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/>
    </xf>
    <xf numFmtId="0" fontId="41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0" xfId="53" applyFont="1" applyAlignment="1">
      <alignment horizontal="center"/>
      <protection/>
    </xf>
    <xf numFmtId="2" fontId="5" fillId="0" borderId="11" xfId="53" applyNumberFormat="1" applyFont="1" applyBorder="1" applyAlignment="1">
      <alignment horizontal="center"/>
      <protection/>
    </xf>
    <xf numFmtId="0" fontId="7" fillId="0" borderId="0" xfId="53" applyFont="1" applyAlignment="1">
      <alignment horizontal="left" vertical="center"/>
      <protection/>
    </xf>
    <xf numFmtId="0" fontId="4" fillId="0" borderId="0" xfId="53" applyFont="1" applyBorder="1" applyAlignment="1">
      <alignment horizontal="center"/>
      <protection/>
    </xf>
    <xf numFmtId="2" fontId="5" fillId="0" borderId="0" xfId="53" applyNumberFormat="1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5" fillId="0" borderId="0" xfId="0" applyFont="1" applyAlignment="1">
      <alignment wrapText="1" shrinkToFit="1"/>
    </xf>
    <xf numFmtId="0" fontId="5" fillId="0" borderId="0" xfId="0" applyFont="1" applyFill="1" applyAlignment="1">
      <alignment/>
    </xf>
    <xf numFmtId="0" fontId="11" fillId="0" borderId="11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4" fillId="0" borderId="29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0" fillId="0" borderId="30" xfId="0" applyBorder="1" applyAlignment="1">
      <alignment horizontal="center"/>
    </xf>
    <xf numFmtId="0" fontId="5" fillId="0" borderId="24" xfId="0" applyFont="1" applyFill="1" applyBorder="1" applyAlignment="1">
      <alignment horizontal="left" vertical="center" wrapText="1" shrinkToFit="1"/>
    </xf>
    <xf numFmtId="2" fontId="5" fillId="0" borderId="24" xfId="0" applyNumberFormat="1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left" vertical="center" wrapText="1" shrinkToFit="1"/>
    </xf>
    <xf numFmtId="4" fontId="5" fillId="0" borderId="11" xfId="0" applyNumberFormat="1" applyFont="1" applyFill="1" applyBorder="1" applyAlignment="1">
      <alignment horizontal="center" vertical="center"/>
    </xf>
    <xf numFmtId="184" fontId="5" fillId="0" borderId="11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32" xfId="0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 shrinkToFit="1"/>
    </xf>
    <xf numFmtId="185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left" vertical="center" wrapText="1" shrinkToFit="1"/>
    </xf>
    <xf numFmtId="184" fontId="5" fillId="0" borderId="11" xfId="0" applyNumberFormat="1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 shrinkToFit="1"/>
    </xf>
    <xf numFmtId="2" fontId="5" fillId="0" borderId="11" xfId="0" applyNumberFormat="1" applyFont="1" applyFill="1" applyBorder="1" applyAlignment="1">
      <alignment horizontal="center" vertical="center" wrapText="1" shrinkToFit="1"/>
    </xf>
    <xf numFmtId="183" fontId="5" fillId="0" borderId="33" xfId="0" applyNumberFormat="1" applyFont="1" applyFill="1" applyBorder="1" applyAlignment="1">
      <alignment horizontal="left" vertical="center" wrapText="1" shrinkToFit="1"/>
    </xf>
    <xf numFmtId="183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183" fontId="5" fillId="0" borderId="11" xfId="0" applyNumberFormat="1" applyFont="1" applyFill="1" applyBorder="1" applyAlignment="1">
      <alignment horizontal="left" vertical="center" wrapText="1" shrinkToFit="1"/>
    </xf>
    <xf numFmtId="183" fontId="5" fillId="0" borderId="34" xfId="0" applyNumberFormat="1" applyFont="1" applyFill="1" applyBorder="1" applyAlignment="1">
      <alignment horizontal="left" vertical="center" wrapText="1" shrinkToFit="1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0" fillId="0" borderId="35" xfId="0" applyBorder="1" applyAlignment="1">
      <alignment horizontal="center"/>
    </xf>
    <xf numFmtId="0" fontId="5" fillId="0" borderId="10" xfId="0" applyFont="1" applyFill="1" applyBorder="1" applyAlignment="1">
      <alignment vertical="center" wrapText="1" shrinkToFit="1"/>
    </xf>
    <xf numFmtId="2" fontId="5" fillId="0" borderId="10" xfId="0" applyNumberFormat="1" applyFont="1" applyFill="1" applyBorder="1" applyAlignment="1">
      <alignment horizontal="center" vertical="center" wrapText="1" shrinkToFit="1"/>
    </xf>
    <xf numFmtId="184" fontId="5" fillId="0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vertical="center" wrapText="1"/>
    </xf>
    <xf numFmtId="0" fontId="0" fillId="0" borderId="36" xfId="0" applyBorder="1" applyAlignment="1">
      <alignment/>
    </xf>
    <xf numFmtId="0" fontId="5" fillId="0" borderId="37" xfId="0" applyFont="1" applyFill="1" applyBorder="1" applyAlignment="1">
      <alignment vertical="center" wrapText="1" shrinkToFit="1"/>
    </xf>
    <xf numFmtId="185" fontId="5" fillId="0" borderId="37" xfId="0" applyNumberFormat="1" applyFont="1" applyFill="1" applyBorder="1" applyAlignment="1">
      <alignment horizontal="center" vertical="center" wrapText="1" shrinkToFit="1"/>
    </xf>
    <xf numFmtId="183" fontId="5" fillId="0" borderId="38" xfId="0" applyNumberFormat="1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right" vertical="center" wrapText="1" shrinkToFit="1"/>
    </xf>
    <xf numFmtId="2" fontId="5" fillId="0" borderId="0" xfId="0" applyNumberFormat="1" applyFont="1" applyFill="1" applyBorder="1" applyAlignment="1">
      <alignment horizontal="center" vertical="center" wrapText="1" shrinkToFit="1"/>
    </xf>
    <xf numFmtId="183" fontId="5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horizontal="center" wrapText="1" shrinkToFit="1"/>
    </xf>
    <xf numFmtId="0" fontId="13" fillId="0" borderId="36" xfId="0" applyFont="1" applyBorder="1" applyAlignment="1">
      <alignment horizontal="center"/>
    </xf>
    <xf numFmtId="0" fontId="4" fillId="0" borderId="37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/>
    </xf>
    <xf numFmtId="0" fontId="5" fillId="0" borderId="24" xfId="0" applyFont="1" applyBorder="1" applyAlignment="1">
      <alignment horizontal="left" vertical="center" wrapText="1" shrinkToFit="1"/>
    </xf>
    <xf numFmtId="0" fontId="5" fillId="0" borderId="32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 shrinkToFit="1"/>
    </xf>
    <xf numFmtId="2" fontId="0" fillId="0" borderId="0" xfId="0" applyNumberFormat="1" applyFill="1" applyAlignment="1">
      <alignment/>
    </xf>
    <xf numFmtId="184" fontId="5" fillId="35" borderId="11" xfId="0" applyNumberFormat="1" applyFont="1" applyFill="1" applyBorder="1" applyAlignment="1">
      <alignment vertical="center" wrapText="1"/>
    </xf>
    <xf numFmtId="183" fontId="5" fillId="0" borderId="11" xfId="0" applyNumberFormat="1" applyFont="1" applyFill="1" applyBorder="1" applyAlignment="1">
      <alignment horizontal="center" vertical="center" wrapText="1" shrinkToFit="1"/>
    </xf>
    <xf numFmtId="183" fontId="0" fillId="0" borderId="0" xfId="0" applyNumberFormat="1" applyFill="1" applyAlignment="1">
      <alignment/>
    </xf>
    <xf numFmtId="0" fontId="5" fillId="0" borderId="11" xfId="0" applyFont="1" applyBorder="1" applyAlignment="1">
      <alignment vertical="center"/>
    </xf>
    <xf numFmtId="49" fontId="5" fillId="0" borderId="32" xfId="0" applyNumberFormat="1" applyFont="1" applyBorder="1" applyAlignment="1">
      <alignment horizontal="center"/>
    </xf>
    <xf numFmtId="0" fontId="5" fillId="0" borderId="33" xfId="0" applyFont="1" applyFill="1" applyBorder="1" applyAlignment="1">
      <alignment vertical="center" wrapText="1" shrinkToFit="1"/>
    </xf>
    <xf numFmtId="0" fontId="5" fillId="0" borderId="18" xfId="0" applyFont="1" applyFill="1" applyBorder="1" applyAlignment="1">
      <alignment vertical="center" wrapText="1" shrinkToFit="1"/>
    </xf>
    <xf numFmtId="183" fontId="5" fillId="0" borderId="11" xfId="0" applyNumberFormat="1" applyFont="1" applyFill="1" applyBorder="1" applyAlignment="1">
      <alignment vertical="center" wrapText="1" shrinkToFit="1"/>
    </xf>
    <xf numFmtId="183" fontId="5" fillId="0" borderId="33" xfId="0" applyNumberFormat="1" applyFont="1" applyFill="1" applyBorder="1" applyAlignment="1">
      <alignment vertical="center" wrapText="1" shrinkToFit="1"/>
    </xf>
    <xf numFmtId="0" fontId="0" fillId="0" borderId="39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 wrapText="1" shrinkToFit="1"/>
    </xf>
    <xf numFmtId="183" fontId="5" fillId="0" borderId="37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0" xfId="0" applyFont="1" applyAlignment="1">
      <alignment/>
    </xf>
    <xf numFmtId="179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9" fontId="0" fillId="0" borderId="0" xfId="0" applyNumberFormat="1" applyFill="1" applyAlignment="1">
      <alignment/>
    </xf>
    <xf numFmtId="0" fontId="0" fillId="0" borderId="11" xfId="0" applyBorder="1" applyAlignment="1">
      <alignment horizontal="center"/>
    </xf>
    <xf numFmtId="183" fontId="5" fillId="36" borderId="11" xfId="0" applyNumberFormat="1" applyFont="1" applyFill="1" applyBorder="1" applyAlignment="1">
      <alignment horizontal="center" vertical="center" wrapText="1" shrinkToFit="1"/>
    </xf>
    <xf numFmtId="2" fontId="5" fillId="36" borderId="11" xfId="0" applyNumberFormat="1" applyFont="1" applyFill="1" applyBorder="1" applyAlignment="1">
      <alignment horizontal="center" vertical="center"/>
    </xf>
    <xf numFmtId="183" fontId="5" fillId="36" borderId="11" xfId="0" applyNumberFormat="1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5" fillId="0" borderId="0" xfId="0" applyFont="1" applyAlignment="1">
      <alignment wrapText="1"/>
    </xf>
    <xf numFmtId="0" fontId="5" fillId="0" borderId="11" xfId="53" applyFont="1" applyBorder="1" applyAlignment="1">
      <alignment wrapText="1"/>
      <protection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53" applyFont="1" applyBorder="1" applyAlignment="1">
      <alignment horizontal="left"/>
      <protection/>
    </xf>
    <xf numFmtId="1" fontId="5" fillId="0" borderId="11" xfId="53" applyNumberFormat="1" applyFont="1" applyBorder="1" applyAlignment="1">
      <alignment horizontal="center"/>
      <protection/>
    </xf>
    <xf numFmtId="0" fontId="5" fillId="37" borderId="11" xfId="53" applyFont="1" applyFill="1" applyBorder="1" applyAlignment="1">
      <alignment horizontal="center"/>
      <protection/>
    </xf>
    <xf numFmtId="2" fontId="5" fillId="0" borderId="18" xfId="53" applyNumberFormat="1" applyFont="1" applyBorder="1" applyAlignment="1">
      <alignment horizontal="center" wrapText="1"/>
      <protection/>
    </xf>
    <xf numFmtId="2" fontId="5" fillId="0" borderId="20" xfId="53" applyNumberFormat="1" applyFont="1" applyBorder="1" applyAlignment="1">
      <alignment horizontal="center" wrapText="1"/>
      <protection/>
    </xf>
    <xf numFmtId="183" fontId="5" fillId="0" borderId="11" xfId="53" applyNumberFormat="1" applyFont="1" applyBorder="1" applyAlignment="1">
      <alignment horizontal="center"/>
      <protection/>
    </xf>
    <xf numFmtId="183" fontId="5" fillId="38" borderId="0" xfId="0" applyNumberFormat="1" applyFont="1" applyFill="1" applyAlignment="1">
      <alignment/>
    </xf>
    <xf numFmtId="1" fontId="5" fillId="0" borderId="0" xfId="53" applyNumberFormat="1" applyFont="1" applyBorder="1" applyAlignment="1">
      <alignment horizontal="center"/>
      <protection/>
    </xf>
    <xf numFmtId="0" fontId="5" fillId="37" borderId="0" xfId="53" applyFont="1" applyFill="1" applyBorder="1" applyAlignment="1">
      <alignment horizontal="center"/>
      <protection/>
    </xf>
    <xf numFmtId="183" fontId="5" fillId="0" borderId="0" xfId="0" applyNumberFormat="1" applyFont="1" applyAlignment="1">
      <alignment/>
    </xf>
    <xf numFmtId="0" fontId="5" fillId="0" borderId="0" xfId="53" applyFont="1" applyBorder="1" applyAlignment="1">
      <alignment wrapText="1"/>
      <protection/>
    </xf>
    <xf numFmtId="2" fontId="5" fillId="38" borderId="0" xfId="0" applyNumberFormat="1" applyFont="1" applyFill="1" applyAlignment="1">
      <alignment/>
    </xf>
    <xf numFmtId="0" fontId="5" fillId="39" borderId="0" xfId="53" applyFont="1" applyFill="1" applyBorder="1" applyAlignment="1">
      <alignment horizontal="center"/>
      <protection/>
    </xf>
    <xf numFmtId="0" fontId="5" fillId="40" borderId="0" xfId="53" applyFont="1" applyFill="1" applyBorder="1" applyAlignment="1">
      <alignment horizontal="center"/>
      <protection/>
    </xf>
    <xf numFmtId="0" fontId="5" fillId="39" borderId="0" xfId="53" applyFont="1" applyFill="1">
      <alignment/>
      <protection/>
    </xf>
    <xf numFmtId="183" fontId="5" fillId="0" borderId="19" xfId="53" applyNumberFormat="1" applyFont="1" applyBorder="1" applyAlignment="1">
      <alignment/>
      <protection/>
    </xf>
    <xf numFmtId="1" fontId="5" fillId="0" borderId="0" xfId="53" applyNumberFormat="1" applyFont="1" applyBorder="1">
      <alignment/>
      <protection/>
    </xf>
    <xf numFmtId="0" fontId="0" fillId="0" borderId="11" xfId="0" applyFill="1" applyBorder="1" applyAlignment="1">
      <alignment wrapText="1"/>
    </xf>
    <xf numFmtId="2" fontId="0" fillId="0" borderId="11" xfId="0" applyNumberFormat="1" applyBorder="1" applyAlignment="1">
      <alignment/>
    </xf>
    <xf numFmtId="0" fontId="0" fillId="0" borderId="21" xfId="0" applyFill="1" applyBorder="1" applyAlignment="1">
      <alignment/>
    </xf>
    <xf numFmtId="0" fontId="0" fillId="0" borderId="33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2" fontId="0" fillId="0" borderId="25" xfId="0" applyNumberFormat="1" applyBorder="1" applyAlignment="1">
      <alignment vertical="center" wrapText="1"/>
    </xf>
    <xf numFmtId="180" fontId="2" fillId="0" borderId="11" xfId="61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right" vertical="top" wrapText="1"/>
      <protection locked="0"/>
    </xf>
    <xf numFmtId="2" fontId="5" fillId="0" borderId="18" xfId="53" applyNumberFormat="1" applyFont="1" applyBorder="1" applyAlignment="1">
      <alignment horizontal="center" vertical="center"/>
      <protection/>
    </xf>
    <xf numFmtId="2" fontId="5" fillId="0" borderId="19" xfId="53" applyNumberFormat="1" applyFont="1" applyBorder="1" applyAlignment="1">
      <alignment horizontal="center" vertical="center"/>
      <protection/>
    </xf>
    <xf numFmtId="2" fontId="5" fillId="0" borderId="20" xfId="53" applyNumberFormat="1" applyFont="1" applyBorder="1" applyAlignment="1">
      <alignment horizontal="center" vertical="center"/>
      <protection/>
    </xf>
    <xf numFmtId="2" fontId="5" fillId="0" borderId="12" xfId="53" applyNumberFormat="1" applyFont="1" applyBorder="1" applyAlignment="1">
      <alignment horizontal="center" vertical="center"/>
      <protection/>
    </xf>
    <xf numFmtId="2" fontId="5" fillId="0" borderId="13" xfId="53" applyNumberFormat="1" applyFont="1" applyBorder="1" applyAlignment="1">
      <alignment horizontal="center" vertical="center"/>
      <protection/>
    </xf>
    <xf numFmtId="2" fontId="5" fillId="0" borderId="14" xfId="53" applyNumberFormat="1" applyFont="1" applyBorder="1" applyAlignment="1">
      <alignment horizontal="center" vertical="center"/>
      <protection/>
    </xf>
    <xf numFmtId="2" fontId="5" fillId="0" borderId="21" xfId="53" applyNumberFormat="1" applyFont="1" applyBorder="1" applyAlignment="1">
      <alignment horizontal="center" vertical="center"/>
      <protection/>
    </xf>
    <xf numFmtId="2" fontId="5" fillId="0" borderId="0" xfId="53" applyNumberFormat="1" applyFont="1" applyBorder="1" applyAlignment="1">
      <alignment horizontal="center" vertical="center"/>
      <protection/>
    </xf>
    <xf numFmtId="2" fontId="5" fillId="0" borderId="22" xfId="53" applyNumberFormat="1" applyFont="1" applyBorder="1" applyAlignment="1">
      <alignment horizontal="center" vertical="center"/>
      <protection/>
    </xf>
    <xf numFmtId="2" fontId="5" fillId="0" borderId="15" xfId="53" applyNumberFormat="1" applyFont="1" applyBorder="1" applyAlignment="1">
      <alignment horizontal="center" vertical="center"/>
      <protection/>
    </xf>
    <xf numFmtId="2" fontId="5" fillId="0" borderId="16" xfId="53" applyNumberFormat="1" applyFont="1" applyBorder="1" applyAlignment="1">
      <alignment horizontal="center" vertical="center"/>
      <protection/>
    </xf>
    <xf numFmtId="2" fontId="5" fillId="0" borderId="17" xfId="53" applyNumberFormat="1" applyFont="1" applyBorder="1" applyAlignment="1">
      <alignment horizontal="center" vertical="center"/>
      <protection/>
    </xf>
    <xf numFmtId="2" fontId="4" fillId="0" borderId="18" xfId="53" applyNumberFormat="1" applyFont="1" applyBorder="1" applyAlignment="1">
      <alignment horizontal="center"/>
      <protection/>
    </xf>
    <xf numFmtId="2" fontId="4" fillId="0" borderId="19" xfId="53" applyNumberFormat="1" applyFont="1" applyBorder="1" applyAlignment="1">
      <alignment horizontal="center"/>
      <protection/>
    </xf>
    <xf numFmtId="2" fontId="4" fillId="0" borderId="20" xfId="53" applyNumberFormat="1" applyFont="1" applyBorder="1" applyAlignment="1">
      <alignment horizontal="center"/>
      <protection/>
    </xf>
    <xf numFmtId="0" fontId="5" fillId="0" borderId="13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183" fontId="5" fillId="0" borderId="12" xfId="53" applyNumberFormat="1" applyFont="1" applyBorder="1" applyAlignment="1">
      <alignment horizontal="center" vertical="center"/>
      <protection/>
    </xf>
    <xf numFmtId="183" fontId="5" fillId="0" borderId="13" xfId="53" applyNumberFormat="1" applyFont="1" applyBorder="1" applyAlignment="1">
      <alignment horizontal="center" vertical="center"/>
      <protection/>
    </xf>
    <xf numFmtId="183" fontId="5" fillId="0" borderId="14" xfId="53" applyNumberFormat="1" applyFont="1" applyBorder="1" applyAlignment="1">
      <alignment horizontal="center" vertical="center"/>
      <protection/>
    </xf>
    <xf numFmtId="183" fontId="5" fillId="0" borderId="21" xfId="53" applyNumberFormat="1" applyFont="1" applyBorder="1" applyAlignment="1">
      <alignment horizontal="center" vertical="center"/>
      <protection/>
    </xf>
    <xf numFmtId="183" fontId="5" fillId="0" borderId="0" xfId="53" applyNumberFormat="1" applyFont="1" applyBorder="1" applyAlignment="1">
      <alignment horizontal="center" vertical="center"/>
      <protection/>
    </xf>
    <xf numFmtId="183" fontId="5" fillId="0" borderId="22" xfId="53" applyNumberFormat="1" applyFont="1" applyBorder="1" applyAlignment="1">
      <alignment horizontal="center" vertical="center"/>
      <protection/>
    </xf>
    <xf numFmtId="183" fontId="5" fillId="0" borderId="15" xfId="53" applyNumberFormat="1" applyFont="1" applyBorder="1" applyAlignment="1">
      <alignment horizontal="center" vertical="center"/>
      <protection/>
    </xf>
    <xf numFmtId="183" fontId="5" fillId="0" borderId="16" xfId="53" applyNumberFormat="1" applyFont="1" applyBorder="1" applyAlignment="1">
      <alignment horizontal="center" vertical="center"/>
      <protection/>
    </xf>
    <xf numFmtId="183" fontId="5" fillId="0" borderId="17" xfId="53" applyNumberFormat="1" applyFont="1" applyBorder="1" applyAlignment="1">
      <alignment horizontal="center" vertical="center"/>
      <protection/>
    </xf>
    <xf numFmtId="0" fontId="5" fillId="0" borderId="18" xfId="53" applyFont="1" applyBorder="1" applyAlignment="1">
      <alignment horizontal="center"/>
      <protection/>
    </xf>
    <xf numFmtId="0" fontId="5" fillId="0" borderId="19" xfId="53" applyFont="1" applyBorder="1" applyAlignment="1">
      <alignment horizontal="center"/>
      <protection/>
    </xf>
    <xf numFmtId="0" fontId="5" fillId="0" borderId="20" xfId="53" applyFont="1" applyBorder="1" applyAlignment="1">
      <alignment horizontal="center"/>
      <protection/>
    </xf>
    <xf numFmtId="2" fontId="5" fillId="0" borderId="11" xfId="53" applyNumberFormat="1" applyFont="1" applyBorder="1" applyAlignment="1">
      <alignment horizontal="center" vertical="center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5" fillId="0" borderId="12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0" fontId="5" fillId="0" borderId="16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0" fontId="5" fillId="0" borderId="0" xfId="53" applyFont="1" applyAlignment="1">
      <alignment horizontal="left" wrapText="1"/>
      <protection/>
    </xf>
    <xf numFmtId="0" fontId="5" fillId="0" borderId="0" xfId="53" applyFont="1" applyAlignment="1">
      <alignment horizontal="left"/>
      <protection/>
    </xf>
    <xf numFmtId="0" fontId="7" fillId="0" borderId="0" xfId="53" applyFont="1" applyAlignment="1">
      <alignment horizontal="left" vertical="center"/>
      <protection/>
    </xf>
    <xf numFmtId="0" fontId="5" fillId="0" borderId="16" xfId="53" applyFont="1" applyBorder="1" applyAlignment="1">
      <alignment horizontal="left"/>
      <protection/>
    </xf>
    <xf numFmtId="16" fontId="5" fillId="0" borderId="18" xfId="53" applyNumberFormat="1" applyFont="1" applyBorder="1" applyAlignment="1">
      <alignment horizontal="center"/>
      <protection/>
    </xf>
    <xf numFmtId="16" fontId="5" fillId="0" borderId="19" xfId="53" applyNumberFormat="1" applyFont="1" applyBorder="1" applyAlignment="1">
      <alignment horizontal="center"/>
      <protection/>
    </xf>
    <xf numFmtId="16" fontId="5" fillId="0" borderId="20" xfId="53" applyNumberFormat="1" applyFont="1" applyBorder="1" applyAlignment="1">
      <alignment horizontal="center"/>
      <protection/>
    </xf>
    <xf numFmtId="2" fontId="5" fillId="0" borderId="18" xfId="53" applyNumberFormat="1" applyFont="1" applyBorder="1" applyAlignment="1">
      <alignment horizontal="center"/>
      <protection/>
    </xf>
    <xf numFmtId="2" fontId="5" fillId="0" borderId="20" xfId="53" applyNumberFormat="1" applyFont="1" applyBorder="1" applyAlignment="1">
      <alignment horizontal="center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8" xfId="53" applyFont="1" applyBorder="1" applyAlignment="1">
      <alignment/>
      <protection/>
    </xf>
    <xf numFmtId="0" fontId="0" fillId="0" borderId="19" xfId="0" applyBorder="1" applyAlignment="1">
      <alignment/>
    </xf>
    <xf numFmtId="0" fontId="5" fillId="0" borderId="0" xfId="53" applyFont="1" applyBorder="1" applyAlignment="1">
      <alignment wrapText="1"/>
      <protection/>
    </xf>
    <xf numFmtId="0" fontId="7" fillId="0" borderId="0" xfId="53" applyFont="1" applyAlignment="1">
      <alignment horizontal="center"/>
      <protection/>
    </xf>
    <xf numFmtId="0" fontId="5" fillId="0" borderId="42" xfId="0" applyFont="1" applyFill="1" applyBorder="1" applyAlignment="1">
      <alignment horizontal="left" vertical="center" wrapText="1" shrinkToFit="1"/>
    </xf>
    <xf numFmtId="0" fontId="5" fillId="0" borderId="31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left" wrapText="1" shrinkToFit="1"/>
    </xf>
    <xf numFmtId="0" fontId="4" fillId="0" borderId="11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 vertical="center" wrapText="1" shrinkToFit="1"/>
    </xf>
    <xf numFmtId="0" fontId="4" fillId="0" borderId="4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wrapText="1" shrinkToFit="1"/>
    </xf>
    <xf numFmtId="0" fontId="4" fillId="0" borderId="45" xfId="0" applyFont="1" applyFill="1" applyBorder="1" applyAlignment="1">
      <alignment horizontal="center" vertical="center" wrapText="1" shrinkToFit="1"/>
    </xf>
    <xf numFmtId="0" fontId="4" fillId="0" borderId="46" xfId="0" applyFont="1" applyFill="1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80" fontId="2" fillId="0" borderId="11" xfId="61" applyNumberFormat="1" applyFont="1" applyFill="1" applyBorder="1" applyAlignment="1" applyProtection="1">
      <alignment horizontal="left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energo\&#1058;&#1045;&#1055;&#1051;&#1054;\Popova\&#1047;&#1072;&#1082;&#1083;&#1102;&#1095;&#1077;&#1085;&#1080;&#1077;_&#1057;&#1077;&#1088;&#1074;&#1080;&#1089;_&#1091;&#1075;&#1086;&#1083;&#1100;&#1085;&#1072;&#1103;%20&#1082;&#1086;&#1090;&#1077;&#1083;&#1100;&#1085;&#1072;&#1103;_&#1085;&#1072;%202015-2018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energo\&#1058;&#1045;&#1055;&#1051;&#1054;\Popova\&#1047;&#1072;&#1082;&#1083;&#1102;&#1095;&#1077;&#1085;&#1080;&#1077;_%20&#1057;&#1077;&#1088;&#1074;&#1080;&#1089;_&#1084;&#1072;&#1079;&#1091;&#1090;&#1085;&#1072;&#1103;%20&#1082;&#1086;&#1090;&#1077;&#1083;&#1100;&#1085;&#1072;&#1103;_&#1085;&#1072;%202015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energo\&#1058;&#1045;&#1055;&#1051;&#1054;\Popova\&#1050;&#1072;&#1083;&#1100;&#1082;&#1091;&#1083;&#1103;&#1094;&#1080;&#1103;%20&#1090;&#1077;&#1087;&#1083;&#1086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"/>
      <sheetName val="ТЭ без операционных"/>
      <sheetName val="по"/>
      <sheetName val="численность"/>
      <sheetName val="ээ"/>
      <sheetName val="транспортные затраты"/>
      <sheetName val="Прирост экономии ОР"/>
      <sheetName val="Расчет экономии по топливу"/>
      <sheetName val="Расчет экономии по ЭР"/>
      <sheetName val="Эл. эн."/>
      <sheetName val="приложение 1"/>
      <sheetName val="спецодежда"/>
      <sheetName val="ТЭ с расшифровкой ОР"/>
    </sheetNames>
    <sheetDataSet>
      <sheetData sheetId="3">
        <row r="44">
          <cell r="G44">
            <v>0.5785867766342018</v>
          </cell>
        </row>
      </sheetData>
      <sheetData sheetId="11">
        <row r="47">
          <cell r="H47">
            <v>3.9622311565674297</v>
          </cell>
        </row>
      </sheetData>
      <sheetData sheetId="12">
        <row r="110">
          <cell r="I110">
            <v>2589.957135135137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"/>
      <sheetName val="ТЭ"/>
      <sheetName val="по"/>
      <sheetName val="численность"/>
      <sheetName val="спецодежда"/>
      <sheetName val="приложение 1"/>
      <sheetName val="ээ"/>
      <sheetName val="Прирост экономии ОР"/>
      <sheetName val="Расчет экономии по топливу"/>
      <sheetName val="Расчет экономии по ЭР"/>
      <sheetName val="Эл. эн."/>
    </sheetNames>
    <sheetDataSet>
      <sheetData sheetId="1">
        <row r="109">
          <cell r="I109">
            <v>3340.648673187793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в.пр."/>
      <sheetName val="вода"/>
      <sheetName val="расчет топливо "/>
      <sheetName val="транспорт"/>
      <sheetName val="Обучение персонала"/>
      <sheetName val="Отбор проб и выполнение анализо"/>
      <sheetName val="Электроэнер"/>
      <sheetName val="Проект ПДВ и нормативов образов"/>
      <sheetName val="штатное расписание "/>
      <sheetName val="штатн.АУП"/>
      <sheetName val="Ставки"/>
      <sheetName val="штатка"/>
      <sheetName val="Калькуляция"/>
    </sheetNames>
    <sheetDataSet>
      <sheetData sheetId="8">
        <row r="113">
          <cell r="L113">
            <v>55.47507264</v>
          </cell>
        </row>
        <row r="115">
          <cell r="L115">
            <v>102.73161599999997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25"/>
  <sheetViews>
    <sheetView tabSelected="1" zoomScale="80" zoomScaleNormal="80" zoomScalePageLayoutView="0" workbookViewId="0" topLeftCell="A1">
      <selection activeCell="H125" sqref="H125:I125"/>
    </sheetView>
  </sheetViews>
  <sheetFormatPr defaultColWidth="0.85546875" defaultRowHeight="15"/>
  <cols>
    <col min="1" max="1" width="12.00390625" style="1" customWidth="1"/>
    <col min="2" max="2" width="51.421875" style="1" customWidth="1"/>
    <col min="3" max="3" width="12.8515625" style="1" customWidth="1"/>
    <col min="4" max="6" width="14.140625" style="1" customWidth="1"/>
    <col min="7" max="7" width="14.00390625" style="1" customWidth="1"/>
    <col min="8" max="8" width="35.7109375" style="2" customWidth="1"/>
    <col min="9" max="9" width="12.8515625" style="1" customWidth="1"/>
    <col min="10" max="10" width="35.7109375" style="2" customWidth="1"/>
    <col min="11" max="11" width="12.7109375" style="51" customWidth="1"/>
    <col min="12" max="16384" width="0.85546875" style="1" customWidth="1"/>
  </cols>
  <sheetData>
    <row r="3" spans="1:11" s="3" customFormat="1" ht="15" customHeight="1">
      <c r="A3" s="234" t="s">
        <v>181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1" s="4" customFormat="1" ht="15" customHeight="1">
      <c r="A4" s="234" t="s">
        <v>432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</row>
    <row r="5" spans="1:11" s="4" customFormat="1" ht="15" customHeight="1">
      <c r="A5" s="234" t="s">
        <v>431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</row>
    <row r="6" spans="8:11" s="5" customFormat="1" ht="17.25" customHeight="1">
      <c r="H6" s="6"/>
      <c r="J6" s="6"/>
      <c r="K6" s="48"/>
    </row>
    <row r="7" spans="1:11" ht="106.5" customHeight="1">
      <c r="A7" s="236" t="s">
        <v>0</v>
      </c>
      <c r="B7" s="238" t="s">
        <v>1</v>
      </c>
      <c r="C7" s="236" t="s">
        <v>2</v>
      </c>
      <c r="D7" s="240" t="s">
        <v>189</v>
      </c>
      <c r="E7" s="241"/>
      <c r="F7" s="7" t="s">
        <v>190</v>
      </c>
      <c r="G7" s="236" t="s">
        <v>191</v>
      </c>
      <c r="H7" s="236" t="s">
        <v>3</v>
      </c>
      <c r="I7" s="236" t="s">
        <v>192</v>
      </c>
      <c r="J7" s="236" t="s">
        <v>193</v>
      </c>
      <c r="K7" s="236" t="s">
        <v>4</v>
      </c>
    </row>
    <row r="8" spans="1:11" ht="13.5" customHeight="1">
      <c r="A8" s="237"/>
      <c r="B8" s="239"/>
      <c r="C8" s="237"/>
      <c r="D8" s="8" t="s">
        <v>5</v>
      </c>
      <c r="E8" s="8" t="s">
        <v>6</v>
      </c>
      <c r="F8" s="8" t="s">
        <v>5</v>
      </c>
      <c r="G8" s="237"/>
      <c r="H8" s="237"/>
      <c r="I8" s="237"/>
      <c r="J8" s="237"/>
      <c r="K8" s="237"/>
    </row>
    <row r="9" spans="1:11" ht="15">
      <c r="A9" s="9"/>
      <c r="B9" s="242" t="s">
        <v>7</v>
      </c>
      <c r="C9" s="243"/>
      <c r="D9" s="243"/>
      <c r="E9" s="243"/>
      <c r="F9" s="243"/>
      <c r="G9" s="243"/>
      <c r="H9" s="243"/>
      <c r="I9" s="243"/>
      <c r="J9" s="243"/>
      <c r="K9" s="243"/>
    </row>
    <row r="10" spans="1:11" s="15" customFormat="1" ht="15">
      <c r="A10" s="10" t="s">
        <v>8</v>
      </c>
      <c r="B10" s="11" t="s">
        <v>171</v>
      </c>
      <c r="C10" s="12" t="s">
        <v>9</v>
      </c>
      <c r="D10" s="13">
        <f>ROUND(D11,1)+ROUND(D12,1)+ROUND(D13,1)</f>
        <v>0</v>
      </c>
      <c r="E10" s="13">
        <f>ROUND(E11,1)+ROUND(E12,1)+ROUND(E13,1)</f>
        <v>0</v>
      </c>
      <c r="F10" s="13">
        <f>ROUND(F11,1)+ROUND(F12,1)+ROUND(F13,1)</f>
        <v>0</v>
      </c>
      <c r="G10" s="13">
        <f>ROUND(G11,1)+ROUND(G12,1)+ROUND(G13,1)</f>
        <v>203500</v>
      </c>
      <c r="H10" s="14"/>
      <c r="I10" s="13">
        <f>I13</f>
        <v>203500</v>
      </c>
      <c r="J10" s="14" t="s">
        <v>17</v>
      </c>
      <c r="K10" s="52" t="str">
        <f>IF(F10&gt;0,I10/F10,"-")</f>
        <v>-</v>
      </c>
    </row>
    <row r="11" spans="1:11" ht="21.75" customHeight="1">
      <c r="A11" s="16" t="s">
        <v>137</v>
      </c>
      <c r="B11" s="17" t="s">
        <v>172</v>
      </c>
      <c r="C11" s="16" t="s">
        <v>9</v>
      </c>
      <c r="D11" s="20"/>
      <c r="E11" s="20"/>
      <c r="F11" s="20"/>
      <c r="G11" s="20"/>
      <c r="H11" s="14"/>
      <c r="I11" s="20"/>
      <c r="J11" s="14"/>
      <c r="K11" s="49" t="str">
        <f aca="true" t="shared" si="0" ref="K11:K21">IF(F11&gt;0,I11/F11,"-")</f>
        <v>-</v>
      </c>
    </row>
    <row r="12" spans="1:11" s="15" customFormat="1" ht="15" customHeight="1">
      <c r="A12" s="16" t="s">
        <v>69</v>
      </c>
      <c r="B12" s="17" t="s">
        <v>173</v>
      </c>
      <c r="C12" s="16" t="s">
        <v>9</v>
      </c>
      <c r="D12" s="47"/>
      <c r="E12" s="20"/>
      <c r="F12" s="20"/>
      <c r="G12" s="20"/>
      <c r="H12" s="14"/>
      <c r="I12" s="20"/>
      <c r="J12" s="14"/>
      <c r="K12" s="49" t="str">
        <f t="shared" si="0"/>
        <v>-</v>
      </c>
    </row>
    <row r="13" spans="1:11" s="15" customFormat="1" ht="28.5" customHeight="1">
      <c r="A13" s="10" t="s">
        <v>82</v>
      </c>
      <c r="B13" s="11" t="s">
        <v>174</v>
      </c>
      <c r="C13" s="12" t="s">
        <v>9</v>
      </c>
      <c r="D13" s="13">
        <f>ROUND(D14,1)+ROUND(D15,1)+ROUND(D16,1)</f>
        <v>0</v>
      </c>
      <c r="E13" s="13">
        <f>ROUND(E14,1)+ROUND(E15,1)+ROUND(E16,1)</f>
        <v>0</v>
      </c>
      <c r="F13" s="13">
        <f>ROUND(F14,1)+ROUND(F15,1)+ROUND(F16,1)</f>
        <v>0</v>
      </c>
      <c r="G13" s="13">
        <f>ROUND(G14,1)+ROUND(G15,1)+ROUND(G16,1)</f>
        <v>203500</v>
      </c>
      <c r="H13" s="14"/>
      <c r="I13" s="13">
        <f>ROUND(I14,1)+ROUND(I15,1)+ROUND(I16,1)</f>
        <v>203500</v>
      </c>
      <c r="J13" s="14" t="s">
        <v>17</v>
      </c>
      <c r="K13" s="52" t="str">
        <f t="shared" si="0"/>
        <v>-</v>
      </c>
    </row>
    <row r="14" spans="1:11" ht="15">
      <c r="A14" s="16" t="s">
        <v>83</v>
      </c>
      <c r="B14" s="21" t="s">
        <v>18</v>
      </c>
      <c r="C14" s="16" t="s">
        <v>9</v>
      </c>
      <c r="D14" s="20"/>
      <c r="E14" s="20"/>
      <c r="F14" s="20"/>
      <c r="G14" s="20">
        <v>66544.3</v>
      </c>
      <c r="H14" s="14"/>
      <c r="I14" s="20">
        <v>66544.3</v>
      </c>
      <c r="J14" s="14" t="s">
        <v>433</v>
      </c>
      <c r="K14" s="49" t="str">
        <f t="shared" si="0"/>
        <v>-</v>
      </c>
    </row>
    <row r="15" spans="1:11" ht="15">
      <c r="A15" s="16" t="s">
        <v>105</v>
      </c>
      <c r="B15" s="21" t="s">
        <v>19</v>
      </c>
      <c r="C15" s="16" t="s">
        <v>9</v>
      </c>
      <c r="D15" s="20"/>
      <c r="E15" s="20"/>
      <c r="F15" s="20"/>
      <c r="G15" s="20">
        <v>55472.9</v>
      </c>
      <c r="H15" s="14"/>
      <c r="I15" s="20">
        <v>55472.9</v>
      </c>
      <c r="J15" s="14" t="s">
        <v>433</v>
      </c>
      <c r="K15" s="49" t="str">
        <f t="shared" si="0"/>
        <v>-</v>
      </c>
    </row>
    <row r="16" spans="1:11" ht="15">
      <c r="A16" s="16" t="s">
        <v>175</v>
      </c>
      <c r="B16" s="21" t="s">
        <v>20</v>
      </c>
      <c r="C16" s="16" t="s">
        <v>9</v>
      </c>
      <c r="D16" s="20"/>
      <c r="E16" s="20"/>
      <c r="F16" s="20"/>
      <c r="G16" s="20">
        <v>81482.8</v>
      </c>
      <c r="H16" s="14"/>
      <c r="I16" s="20">
        <v>81482.8</v>
      </c>
      <c r="J16" s="14" t="s">
        <v>433</v>
      </c>
      <c r="K16" s="49" t="str">
        <f t="shared" si="0"/>
        <v>-</v>
      </c>
    </row>
    <row r="17" spans="1:11" ht="15">
      <c r="A17" s="16" t="s">
        <v>10</v>
      </c>
      <c r="B17" s="17" t="s">
        <v>176</v>
      </c>
      <c r="C17" s="16" t="s">
        <v>9</v>
      </c>
      <c r="D17" s="18"/>
      <c r="E17" s="20"/>
      <c r="F17" s="20"/>
      <c r="G17" s="20"/>
      <c r="H17" s="14"/>
      <c r="I17" s="20"/>
      <c r="J17" s="14"/>
      <c r="K17" s="49" t="str">
        <f t="shared" si="0"/>
        <v>-</v>
      </c>
    </row>
    <row r="18" spans="1:11" ht="15">
      <c r="A18" s="16" t="s">
        <v>11</v>
      </c>
      <c r="B18" s="19" t="s">
        <v>177</v>
      </c>
      <c r="C18" s="16" t="s">
        <v>9</v>
      </c>
      <c r="D18" s="18"/>
      <c r="E18" s="20"/>
      <c r="F18" s="20"/>
      <c r="G18" s="20"/>
      <c r="H18" s="14"/>
      <c r="I18" s="20"/>
      <c r="J18" s="14"/>
      <c r="K18" s="49" t="str">
        <f t="shared" si="0"/>
        <v>-</v>
      </c>
    </row>
    <row r="19" spans="1:11" ht="15">
      <c r="A19" s="16" t="s">
        <v>118</v>
      </c>
      <c r="B19" s="29" t="s">
        <v>178</v>
      </c>
      <c r="C19" s="16" t="s">
        <v>9</v>
      </c>
      <c r="D19" s="18"/>
      <c r="E19" s="20"/>
      <c r="F19" s="20"/>
      <c r="G19" s="20"/>
      <c r="H19" s="14"/>
      <c r="I19" s="20"/>
      <c r="J19" s="14"/>
      <c r="K19" s="49" t="str">
        <f t="shared" si="0"/>
        <v>-</v>
      </c>
    </row>
    <row r="20" spans="1:11" ht="15">
      <c r="A20" s="16" t="s">
        <v>120</v>
      </c>
      <c r="B20" s="29" t="s">
        <v>179</v>
      </c>
      <c r="C20" s="16" t="s">
        <v>9</v>
      </c>
      <c r="D20" s="20"/>
      <c r="E20" s="20"/>
      <c r="F20" s="20"/>
      <c r="G20" s="20"/>
      <c r="H20" s="14"/>
      <c r="I20" s="20"/>
      <c r="J20" s="14"/>
      <c r="K20" s="49" t="str">
        <f t="shared" si="0"/>
        <v>-</v>
      </c>
    </row>
    <row r="21" spans="1:11" ht="15">
      <c r="A21" s="10" t="s">
        <v>12</v>
      </c>
      <c r="B21" s="11" t="s">
        <v>180</v>
      </c>
      <c r="C21" s="10" t="s">
        <v>9</v>
      </c>
      <c r="D21" s="13">
        <f>ROUND(D10,1)-ROUND(D17,1)-ROUND(D19,1)</f>
        <v>0</v>
      </c>
      <c r="E21" s="13">
        <f>ROUND(E10,1)-ROUND(E17,1)-ROUND(E19,1)</f>
        <v>0</v>
      </c>
      <c r="F21" s="13">
        <f>ROUND(F10,1)-ROUND(F17,1)-ROUND(F19,1)</f>
        <v>0</v>
      </c>
      <c r="G21" s="13">
        <f>ROUND(G10,1)-ROUND(G17,1)-ROUND(G19,1)</f>
        <v>203500</v>
      </c>
      <c r="H21" s="14"/>
      <c r="I21" s="13">
        <f>ROUND(I10,1)-ROUND(I17,1)-ROUND(I19,1)</f>
        <v>203500</v>
      </c>
      <c r="J21" s="14" t="s">
        <v>434</v>
      </c>
      <c r="K21" s="52" t="str">
        <f t="shared" si="0"/>
        <v>-</v>
      </c>
    </row>
    <row r="22" spans="1:11" ht="15">
      <c r="A22" s="25"/>
      <c r="B22" s="242" t="s">
        <v>21</v>
      </c>
      <c r="C22" s="243"/>
      <c r="D22" s="243"/>
      <c r="E22" s="243"/>
      <c r="F22" s="243"/>
      <c r="G22" s="243"/>
      <c r="H22" s="243"/>
      <c r="I22" s="243"/>
      <c r="J22" s="243"/>
      <c r="K22" s="243"/>
    </row>
    <row r="23" spans="1:11" ht="15">
      <c r="A23" s="25"/>
      <c r="B23" s="19" t="s">
        <v>22</v>
      </c>
      <c r="C23" s="25" t="s">
        <v>23</v>
      </c>
      <c r="D23" s="16"/>
      <c r="E23" s="16"/>
      <c r="F23" s="16"/>
      <c r="G23" s="16"/>
      <c r="H23" s="26"/>
      <c r="I23" s="16"/>
      <c r="J23" s="26"/>
      <c r="K23" s="17"/>
    </row>
    <row r="24" spans="1:11" s="15" customFormat="1" ht="15" customHeight="1">
      <c r="A24" s="10" t="s">
        <v>8</v>
      </c>
      <c r="B24" s="11" t="s">
        <v>25</v>
      </c>
      <c r="C24" s="12" t="s">
        <v>24</v>
      </c>
      <c r="D24" s="13">
        <f>ROUND(D25,1)+ROUND(D26,1)+ROUND(D45,1)+ROUND(D52,1)+ROUND(D61,1)+ROUND(D62,1)+ROUND(D63,1)</f>
        <v>0</v>
      </c>
      <c r="E24" s="13">
        <f>ROUND(E25,1)+ROUND(E26,1)+ROUND(E45,1)+ROUND(E52,1)+ROUND(E61,1)+ROUND(E62,1)+ROUND(E63,1)</f>
        <v>0</v>
      </c>
      <c r="F24" s="13">
        <f>ROUND(F25,1)+ROUND(F26,1)+ROUND(F45,1)+ROUND(F52,1)+ROUND(F61,1)+ROUND(F62,1)+ROUND(F63,1)</f>
        <v>0</v>
      </c>
      <c r="G24" s="13">
        <f>ROUND(G25,1)+ROUND(G26,1)+ROUND(G45,1)+ROUND(G52,1)+ROUND(G61,1)+ROUND(G62,1)+ROUND(G63,1)</f>
        <v>18665.399999999998</v>
      </c>
      <c r="H24" s="14"/>
      <c r="I24" s="13">
        <f>ROUND(I25,1)+ROUND(I26,1)+ROUND(I45,1)+ROUND(I52,1)+ROUND(I61,1)+ROUND(I62,1)+ROUND(I63,1)</f>
        <v>10736.8</v>
      </c>
      <c r="J24" s="40" t="s">
        <v>17</v>
      </c>
      <c r="K24" s="52" t="str">
        <f aca="true" t="shared" si="1" ref="K24:K87">IF(F24&gt;0,I24/F24,"-")</f>
        <v>-</v>
      </c>
    </row>
    <row r="25" spans="1:11" ht="30">
      <c r="A25" s="10" t="s">
        <v>137</v>
      </c>
      <c r="B25" s="29" t="s">
        <v>26</v>
      </c>
      <c r="C25" s="9" t="s">
        <v>24</v>
      </c>
      <c r="D25" s="18">
        <v>0</v>
      </c>
      <c r="E25" s="18">
        <v>0</v>
      </c>
      <c r="F25" s="18">
        <v>0</v>
      </c>
      <c r="G25" s="18">
        <v>0</v>
      </c>
      <c r="H25" s="14"/>
      <c r="I25" s="18">
        <v>0</v>
      </c>
      <c r="J25" s="14"/>
      <c r="K25" s="49" t="str">
        <f t="shared" si="1"/>
        <v>-</v>
      </c>
    </row>
    <row r="26" spans="1:11" s="15" customFormat="1" ht="48" customHeight="1">
      <c r="A26" s="27" t="s">
        <v>69</v>
      </c>
      <c r="B26" s="21" t="s">
        <v>149</v>
      </c>
      <c r="C26" s="42" t="s">
        <v>24</v>
      </c>
      <c r="D26" s="46">
        <f>ROUND(D27,1)+ROUND(D30,1)+ROUND(D33,1)+ROUND(D36,1)+ROUND(D39,1)+ROUND(D42,1)</f>
        <v>0</v>
      </c>
      <c r="E26" s="46">
        <f>ROUND(E27,1)+ROUND(E30,1)+ROUND(E33,1)+ROUND(E36,1)+ROUND(E39,1)+ROUND(E42,1)</f>
        <v>0</v>
      </c>
      <c r="F26" s="46">
        <f>ROUND(F27,1)+ROUND(F30,1)+ROUND(F33,1)+ROUND(F36,1)+ROUND(F39,1)+ROUND(F42,1)</f>
        <v>0</v>
      </c>
      <c r="G26" s="46">
        <f>ROUND(G27,1)+ROUND(G30,1)+ROUND(G33,1)+ROUND(G36,1)+ROUND(G39,1)+ROUND(G42,1)</f>
        <v>3214.6</v>
      </c>
      <c r="H26" s="14"/>
      <c r="I26" s="46">
        <f>ROUND(I27,1)+ROUND(I30,1)+ROUND(I33,1)+ROUND(I36,1)+ROUND(I39,1)+ROUND(I42,1)</f>
        <v>3214.6</v>
      </c>
      <c r="J26" s="14" t="s">
        <v>17</v>
      </c>
      <c r="K26" s="49" t="str">
        <f t="shared" si="1"/>
        <v>-</v>
      </c>
    </row>
    <row r="27" spans="1:11" s="15" customFormat="1" ht="15">
      <c r="A27" s="16" t="s">
        <v>70</v>
      </c>
      <c r="B27" s="35" t="s">
        <v>71</v>
      </c>
      <c r="C27" s="16" t="s">
        <v>24</v>
      </c>
      <c r="D27" s="18"/>
      <c r="E27" s="18"/>
      <c r="F27" s="18"/>
      <c r="G27" s="18">
        <v>3214.6</v>
      </c>
      <c r="H27" s="14"/>
      <c r="I27" s="18">
        <v>3214.6</v>
      </c>
      <c r="J27" s="14" t="s">
        <v>433</v>
      </c>
      <c r="K27" s="49" t="str">
        <f t="shared" si="1"/>
        <v>-</v>
      </c>
    </row>
    <row r="28" spans="1:11" s="15" customFormat="1" ht="15">
      <c r="A28" s="16"/>
      <c r="B28" s="31" t="s">
        <v>72</v>
      </c>
      <c r="C28" s="16" t="s">
        <v>73</v>
      </c>
      <c r="D28" s="18"/>
      <c r="E28" s="18"/>
      <c r="F28" s="18"/>
      <c r="G28" s="18">
        <v>1096758</v>
      </c>
      <c r="H28" s="14"/>
      <c r="I28" s="18">
        <v>1096758</v>
      </c>
      <c r="J28" s="14" t="s">
        <v>433</v>
      </c>
      <c r="K28" s="49" t="str">
        <f t="shared" si="1"/>
        <v>-</v>
      </c>
    </row>
    <row r="29" spans="1:11" s="15" customFormat="1" ht="33" customHeight="1">
      <c r="A29" s="16"/>
      <c r="B29" s="31" t="s">
        <v>74</v>
      </c>
      <c r="C29" s="16" t="s">
        <v>75</v>
      </c>
      <c r="D29" s="18"/>
      <c r="E29" s="18"/>
      <c r="F29" s="18"/>
      <c r="G29" s="18">
        <v>2.93</v>
      </c>
      <c r="H29" s="14"/>
      <c r="I29" s="18">
        <v>2.93</v>
      </c>
      <c r="J29" s="14" t="s">
        <v>433</v>
      </c>
      <c r="K29" s="49" t="str">
        <f t="shared" si="1"/>
        <v>-</v>
      </c>
    </row>
    <row r="30" spans="1:11" s="15" customFormat="1" ht="15">
      <c r="A30" s="16" t="s">
        <v>76</v>
      </c>
      <c r="B30" s="35" t="s">
        <v>77</v>
      </c>
      <c r="C30" s="16" t="s">
        <v>24</v>
      </c>
      <c r="D30" s="18"/>
      <c r="E30" s="18"/>
      <c r="F30" s="18"/>
      <c r="G30" s="18"/>
      <c r="H30" s="14"/>
      <c r="I30" s="18"/>
      <c r="J30" s="14"/>
      <c r="K30" s="49" t="str">
        <f t="shared" si="1"/>
        <v>-</v>
      </c>
    </row>
    <row r="31" spans="1:11" s="15" customFormat="1" ht="15">
      <c r="A31" s="16"/>
      <c r="B31" s="45" t="s">
        <v>78</v>
      </c>
      <c r="C31" s="16" t="s">
        <v>79</v>
      </c>
      <c r="D31" s="18"/>
      <c r="E31" s="18"/>
      <c r="F31" s="18"/>
      <c r="G31" s="18"/>
      <c r="H31" s="14"/>
      <c r="I31" s="18"/>
      <c r="J31" s="14"/>
      <c r="K31" s="49" t="str">
        <f t="shared" si="1"/>
        <v>-</v>
      </c>
    </row>
    <row r="32" spans="1:11" s="15" customFormat="1" ht="15" customHeight="1">
      <c r="A32" s="16"/>
      <c r="B32" s="45" t="s">
        <v>80</v>
      </c>
      <c r="C32" s="36" t="s">
        <v>81</v>
      </c>
      <c r="D32" s="18"/>
      <c r="E32" s="18"/>
      <c r="F32" s="18"/>
      <c r="G32" s="18"/>
      <c r="H32" s="14"/>
      <c r="I32" s="18"/>
      <c r="J32" s="14"/>
      <c r="K32" s="49" t="str">
        <f t="shared" si="1"/>
        <v>-</v>
      </c>
    </row>
    <row r="33" spans="1:11" s="15" customFormat="1" ht="15" customHeight="1">
      <c r="A33" s="16" t="s">
        <v>150</v>
      </c>
      <c r="B33" s="22" t="s">
        <v>84</v>
      </c>
      <c r="C33" s="16" t="s">
        <v>24</v>
      </c>
      <c r="D33" s="18"/>
      <c r="E33" s="18"/>
      <c r="F33" s="18"/>
      <c r="G33" s="18"/>
      <c r="H33" s="14"/>
      <c r="I33" s="18"/>
      <c r="J33" s="14"/>
      <c r="K33" s="49" t="str">
        <f t="shared" si="1"/>
        <v>-</v>
      </c>
    </row>
    <row r="34" spans="1:11" s="15" customFormat="1" ht="15" customHeight="1">
      <c r="A34" s="16"/>
      <c r="B34" s="31" t="s">
        <v>85</v>
      </c>
      <c r="C34" s="16" t="s">
        <v>86</v>
      </c>
      <c r="D34" s="18"/>
      <c r="E34" s="18"/>
      <c r="F34" s="18"/>
      <c r="G34" s="18"/>
      <c r="H34" s="14"/>
      <c r="I34" s="18"/>
      <c r="J34" s="14"/>
      <c r="K34" s="49" t="str">
        <f t="shared" si="1"/>
        <v>-</v>
      </c>
    </row>
    <row r="35" spans="1:11" s="15" customFormat="1" ht="15" customHeight="1">
      <c r="A35" s="16"/>
      <c r="B35" s="31" t="s">
        <v>87</v>
      </c>
      <c r="C35" s="16" t="s">
        <v>88</v>
      </c>
      <c r="D35" s="18"/>
      <c r="E35" s="18"/>
      <c r="F35" s="18"/>
      <c r="G35" s="18"/>
      <c r="H35" s="14"/>
      <c r="I35" s="18">
        <f>F35*1.04</f>
        <v>0</v>
      </c>
      <c r="J35" s="14"/>
      <c r="K35" s="49" t="str">
        <f t="shared" si="1"/>
        <v>-</v>
      </c>
    </row>
    <row r="36" spans="1:11" s="15" customFormat="1" ht="15" customHeight="1">
      <c r="A36" s="16" t="s">
        <v>151</v>
      </c>
      <c r="B36" s="22" t="s">
        <v>89</v>
      </c>
      <c r="C36" s="16" t="s">
        <v>24</v>
      </c>
      <c r="D36" s="18"/>
      <c r="E36" s="18"/>
      <c r="F36" s="18"/>
      <c r="G36" s="18"/>
      <c r="H36" s="14"/>
      <c r="I36" s="18"/>
      <c r="J36" s="14"/>
      <c r="K36" s="49" t="str">
        <f t="shared" si="1"/>
        <v>-</v>
      </c>
    </row>
    <row r="37" spans="1:11" s="15" customFormat="1" ht="15" customHeight="1">
      <c r="A37" s="16"/>
      <c r="B37" s="31" t="s">
        <v>90</v>
      </c>
      <c r="C37" s="16" t="s">
        <v>9</v>
      </c>
      <c r="D37" s="18"/>
      <c r="E37" s="18"/>
      <c r="F37" s="18"/>
      <c r="G37" s="18"/>
      <c r="H37" s="14"/>
      <c r="I37" s="18"/>
      <c r="J37" s="14"/>
      <c r="K37" s="49" t="str">
        <f t="shared" si="1"/>
        <v>-</v>
      </c>
    </row>
    <row r="38" spans="1:11" s="15" customFormat="1" ht="15" customHeight="1">
      <c r="A38" s="16"/>
      <c r="B38" s="31" t="s">
        <v>91</v>
      </c>
      <c r="C38" s="16" t="s">
        <v>92</v>
      </c>
      <c r="D38" s="18"/>
      <c r="E38" s="18"/>
      <c r="F38" s="18"/>
      <c r="G38" s="18"/>
      <c r="H38" s="14"/>
      <c r="I38" s="18">
        <f>F38*1.04</f>
        <v>0</v>
      </c>
      <c r="J38" s="14"/>
      <c r="K38" s="49" t="str">
        <f t="shared" si="1"/>
        <v>-</v>
      </c>
    </row>
    <row r="39" spans="1:11" s="15" customFormat="1" ht="15" customHeight="1">
      <c r="A39" s="16" t="s">
        <v>159</v>
      </c>
      <c r="B39" s="22" t="s">
        <v>93</v>
      </c>
      <c r="C39" s="16" t="s">
        <v>24</v>
      </c>
      <c r="D39" s="18"/>
      <c r="E39" s="18"/>
      <c r="F39" s="18"/>
      <c r="G39" s="18"/>
      <c r="H39" s="14"/>
      <c r="I39" s="18"/>
      <c r="J39" s="14"/>
      <c r="K39" s="49" t="str">
        <f t="shared" si="1"/>
        <v>-</v>
      </c>
    </row>
    <row r="40" spans="1:11" s="15" customFormat="1" ht="15" customHeight="1">
      <c r="A40" s="16"/>
      <c r="B40" s="31" t="s">
        <v>94</v>
      </c>
      <c r="C40" s="16" t="s">
        <v>9</v>
      </c>
      <c r="D40" s="18"/>
      <c r="E40" s="18"/>
      <c r="F40" s="18"/>
      <c r="G40" s="18"/>
      <c r="H40" s="14"/>
      <c r="I40" s="18"/>
      <c r="J40" s="14"/>
      <c r="K40" s="49" t="str">
        <f t="shared" si="1"/>
        <v>-</v>
      </c>
    </row>
    <row r="41" spans="1:11" s="15" customFormat="1" ht="15" customHeight="1">
      <c r="A41" s="16"/>
      <c r="B41" s="31" t="s">
        <v>95</v>
      </c>
      <c r="C41" s="16" t="s">
        <v>92</v>
      </c>
      <c r="D41" s="18"/>
      <c r="E41" s="18"/>
      <c r="F41" s="18"/>
      <c r="G41" s="18"/>
      <c r="H41" s="14"/>
      <c r="I41" s="18">
        <f>F41*1.04</f>
        <v>0</v>
      </c>
      <c r="J41" s="14"/>
      <c r="K41" s="49" t="str">
        <f t="shared" si="1"/>
        <v>-</v>
      </c>
    </row>
    <row r="42" spans="1:11" s="15" customFormat="1" ht="15" customHeight="1">
      <c r="A42" s="16" t="s">
        <v>160</v>
      </c>
      <c r="B42" s="22" t="s">
        <v>96</v>
      </c>
      <c r="C42" s="16" t="s">
        <v>24</v>
      </c>
      <c r="D42" s="18"/>
      <c r="E42" s="18"/>
      <c r="F42" s="18"/>
      <c r="G42" s="18"/>
      <c r="H42" s="14"/>
      <c r="I42" s="18"/>
      <c r="J42" s="14"/>
      <c r="K42" s="49" t="str">
        <f t="shared" si="1"/>
        <v>-</v>
      </c>
    </row>
    <row r="43" spans="1:11" s="15" customFormat="1" ht="15" customHeight="1">
      <c r="A43" s="16"/>
      <c r="B43" s="31" t="s">
        <v>97</v>
      </c>
      <c r="C43" s="16" t="s">
        <v>9</v>
      </c>
      <c r="D43" s="18"/>
      <c r="E43" s="18"/>
      <c r="F43" s="18"/>
      <c r="G43" s="18"/>
      <c r="H43" s="14"/>
      <c r="I43" s="18"/>
      <c r="J43" s="14"/>
      <c r="K43" s="49" t="str">
        <f t="shared" si="1"/>
        <v>-</v>
      </c>
    </row>
    <row r="44" spans="1:11" s="15" customFormat="1" ht="15" customHeight="1">
      <c r="A44" s="16"/>
      <c r="B44" s="31" t="s">
        <v>98</v>
      </c>
      <c r="C44" s="16" t="s">
        <v>92</v>
      </c>
      <c r="D44" s="18"/>
      <c r="E44" s="18"/>
      <c r="F44" s="18"/>
      <c r="G44" s="18"/>
      <c r="H44" s="14"/>
      <c r="I44" s="18">
        <f>F44*1.04</f>
        <v>0</v>
      </c>
      <c r="J44" s="14"/>
      <c r="K44" s="49" t="str">
        <f t="shared" si="1"/>
        <v>-</v>
      </c>
    </row>
    <row r="45" spans="1:11" s="15" customFormat="1" ht="78.75" customHeight="1">
      <c r="A45" s="10" t="s">
        <v>82</v>
      </c>
      <c r="B45" s="21" t="s">
        <v>187</v>
      </c>
      <c r="C45" s="16" t="s">
        <v>24</v>
      </c>
      <c r="D45" s="46">
        <f>ROUND(D46,1)+ROUND(D49,1)</f>
        <v>0</v>
      </c>
      <c r="E45" s="46">
        <f>ROUND(E46,1)+ROUND(E49,1)</f>
        <v>0</v>
      </c>
      <c r="F45" s="46">
        <f>ROUND(F46,1)+ROUND(F49,1)</f>
        <v>0</v>
      </c>
      <c r="G45" s="46">
        <f>ROUND(G46,1)+ROUND(G49,1)</f>
        <v>0</v>
      </c>
      <c r="H45" s="14"/>
      <c r="I45" s="46">
        <f>ROUND(I46,1)+ROUND(I49,1)</f>
        <v>0</v>
      </c>
      <c r="J45" s="14"/>
      <c r="K45" s="49" t="str">
        <f t="shared" si="1"/>
        <v>-</v>
      </c>
    </row>
    <row r="46" spans="1:11" s="15" customFormat="1" ht="15" customHeight="1">
      <c r="A46" s="16" t="s">
        <v>83</v>
      </c>
      <c r="B46" s="22" t="s">
        <v>99</v>
      </c>
      <c r="C46" s="16" t="s">
        <v>24</v>
      </c>
      <c r="D46" s="18"/>
      <c r="E46" s="18"/>
      <c r="F46" s="18"/>
      <c r="G46" s="18"/>
      <c r="H46" s="14"/>
      <c r="I46" s="18"/>
      <c r="J46" s="14"/>
      <c r="K46" s="49" t="str">
        <f t="shared" si="1"/>
        <v>-</v>
      </c>
    </row>
    <row r="47" spans="1:11" s="15" customFormat="1" ht="15" customHeight="1">
      <c r="A47" s="16"/>
      <c r="B47" s="31" t="s">
        <v>100</v>
      </c>
      <c r="C47" s="16" t="s">
        <v>9</v>
      </c>
      <c r="D47" s="18"/>
      <c r="E47" s="18"/>
      <c r="F47" s="18"/>
      <c r="G47" s="18"/>
      <c r="H47" s="14"/>
      <c r="I47" s="18"/>
      <c r="J47" s="14"/>
      <c r="K47" s="49" t="str">
        <f t="shared" si="1"/>
        <v>-</v>
      </c>
    </row>
    <row r="48" spans="1:11" s="15" customFormat="1" ht="15" customHeight="1">
      <c r="A48" s="16"/>
      <c r="B48" s="31" t="s">
        <v>101</v>
      </c>
      <c r="C48" s="16" t="s">
        <v>92</v>
      </c>
      <c r="D48" s="18"/>
      <c r="E48" s="18"/>
      <c r="F48" s="18"/>
      <c r="G48" s="18"/>
      <c r="H48" s="14"/>
      <c r="I48" s="18">
        <f>F48*1.04</f>
        <v>0</v>
      </c>
      <c r="J48" s="14"/>
      <c r="K48" s="49" t="str">
        <f t="shared" si="1"/>
        <v>-</v>
      </c>
    </row>
    <row r="49" spans="1:11" s="15" customFormat="1" ht="15" customHeight="1">
      <c r="A49" s="16" t="s">
        <v>105</v>
      </c>
      <c r="B49" s="22" t="s">
        <v>102</v>
      </c>
      <c r="C49" s="16" t="s">
        <v>24</v>
      </c>
      <c r="D49" s="18"/>
      <c r="E49" s="18"/>
      <c r="F49" s="18"/>
      <c r="G49" s="18"/>
      <c r="H49" s="14"/>
      <c r="I49" s="18"/>
      <c r="J49" s="14"/>
      <c r="K49" s="49" t="str">
        <f t="shared" si="1"/>
        <v>-</v>
      </c>
    </row>
    <row r="50" spans="1:11" s="15" customFormat="1" ht="15" customHeight="1">
      <c r="A50" s="16"/>
      <c r="B50" s="31" t="s">
        <v>103</v>
      </c>
      <c r="C50" s="16" t="s">
        <v>9</v>
      </c>
      <c r="D50" s="18"/>
      <c r="E50" s="18"/>
      <c r="F50" s="18"/>
      <c r="G50" s="18"/>
      <c r="H50" s="14"/>
      <c r="I50" s="18"/>
      <c r="J50" s="14"/>
      <c r="K50" s="49" t="str">
        <f t="shared" si="1"/>
        <v>-</v>
      </c>
    </row>
    <row r="51" spans="1:11" s="15" customFormat="1" ht="15" customHeight="1">
      <c r="A51" s="16"/>
      <c r="B51" s="31" t="s">
        <v>104</v>
      </c>
      <c r="C51" s="16" t="s">
        <v>92</v>
      </c>
      <c r="D51" s="18"/>
      <c r="E51" s="18"/>
      <c r="F51" s="18"/>
      <c r="G51" s="18"/>
      <c r="H51" s="14"/>
      <c r="I51" s="18">
        <f>F51*1.04</f>
        <v>0</v>
      </c>
      <c r="J51" s="14"/>
      <c r="K51" s="49" t="str">
        <f t="shared" si="1"/>
        <v>-</v>
      </c>
    </row>
    <row r="52" spans="1:11" s="15" customFormat="1" ht="45">
      <c r="A52" s="10" t="s">
        <v>138</v>
      </c>
      <c r="B52" s="23" t="s">
        <v>27</v>
      </c>
      <c r="C52" s="12" t="s">
        <v>24</v>
      </c>
      <c r="D52" s="13">
        <f>ROUND(D53,1)+ROUND(D56,1)+ROUND(D57,1)+ROUND(D60,1)</f>
        <v>0</v>
      </c>
      <c r="E52" s="13">
        <f>ROUND(E53,1)+ROUND(E56,1)+ROUND(E57,1)+ROUND(E60,1)</f>
        <v>0</v>
      </c>
      <c r="F52" s="13">
        <f>ROUND(F53,1)+ROUND(F56,1)+ROUND(F57,1)+ROUND(F60,1)</f>
        <v>0</v>
      </c>
      <c r="G52" s="13">
        <f>ROUND(G53,1)+ROUND(G56,1)+ROUND(G57,1)+ROUND(G60,1)</f>
        <v>14300.5</v>
      </c>
      <c r="H52" s="14"/>
      <c r="I52" s="13">
        <f>ROUND(I53,1)+ROUND(I56,1)+ROUND(I57,1)+ROUND(I60,1)</f>
        <v>6494.400000000001</v>
      </c>
      <c r="J52" s="14" t="s">
        <v>17</v>
      </c>
      <c r="K52" s="52" t="str">
        <f t="shared" si="1"/>
        <v>-</v>
      </c>
    </row>
    <row r="53" spans="1:11" ht="30">
      <c r="A53" s="10" t="s">
        <v>161</v>
      </c>
      <c r="B53" s="24" t="s">
        <v>28</v>
      </c>
      <c r="C53" s="9" t="s">
        <v>24</v>
      </c>
      <c r="D53" s="18"/>
      <c r="E53" s="18"/>
      <c r="F53" s="18"/>
      <c r="G53" s="18">
        <v>8033.2</v>
      </c>
      <c r="H53" s="14"/>
      <c r="I53" s="18">
        <v>3548.986</v>
      </c>
      <c r="J53" s="14" t="s">
        <v>17</v>
      </c>
      <c r="K53" s="49" t="str">
        <f t="shared" si="1"/>
        <v>-</v>
      </c>
    </row>
    <row r="54" spans="1:11" ht="255">
      <c r="A54" s="16"/>
      <c r="B54" s="30" t="s">
        <v>29</v>
      </c>
      <c r="C54" s="9" t="s">
        <v>30</v>
      </c>
      <c r="D54" s="18"/>
      <c r="E54" s="18"/>
      <c r="F54" s="18"/>
      <c r="G54" s="18">
        <v>29752.5</v>
      </c>
      <c r="H54" s="14" t="s">
        <v>443</v>
      </c>
      <c r="I54" s="18">
        <f>I53/I55*1000/12</f>
        <v>21124.916666666668</v>
      </c>
      <c r="J54" s="14" t="s">
        <v>435</v>
      </c>
      <c r="K54" s="49" t="str">
        <f>IF(F54&gt;0,I54/F54,"-")</f>
        <v>-</v>
      </c>
    </row>
    <row r="55" spans="1:11" ht="44.25" customHeight="1">
      <c r="A55" s="16"/>
      <c r="B55" s="30" t="s">
        <v>31</v>
      </c>
      <c r="C55" s="9" t="s">
        <v>32</v>
      </c>
      <c r="D55" s="18"/>
      <c r="E55" s="18"/>
      <c r="F55" s="18"/>
      <c r="G55" s="18">
        <v>22.5</v>
      </c>
      <c r="H55" s="14"/>
      <c r="I55" s="18">
        <v>14</v>
      </c>
      <c r="J55" s="14" t="s">
        <v>436</v>
      </c>
      <c r="K55" s="49" t="str">
        <f t="shared" si="1"/>
        <v>-</v>
      </c>
    </row>
    <row r="56" spans="1:11" ht="30">
      <c r="A56" s="10" t="s">
        <v>162</v>
      </c>
      <c r="B56" s="24" t="s">
        <v>33</v>
      </c>
      <c r="C56" s="9" t="s">
        <v>24</v>
      </c>
      <c r="D56" s="18"/>
      <c r="E56" s="18"/>
      <c r="F56" s="18"/>
      <c r="G56" s="18">
        <v>2426</v>
      </c>
      <c r="H56" s="14"/>
      <c r="I56" s="18">
        <f>I53*30.2%</f>
        <v>1071.793772</v>
      </c>
      <c r="J56" s="14" t="s">
        <v>437</v>
      </c>
      <c r="K56" s="49" t="str">
        <f t="shared" si="1"/>
        <v>-</v>
      </c>
    </row>
    <row r="57" spans="1:11" ht="15">
      <c r="A57" s="16" t="s">
        <v>163</v>
      </c>
      <c r="B57" s="22" t="s">
        <v>34</v>
      </c>
      <c r="C57" s="9" t="s">
        <v>24</v>
      </c>
      <c r="D57" s="18"/>
      <c r="E57" s="18"/>
      <c r="F57" s="18"/>
      <c r="G57" s="18">
        <v>2950.3</v>
      </c>
      <c r="H57" s="14"/>
      <c r="I57" s="18">
        <v>1438.975</v>
      </c>
      <c r="J57" s="14" t="s">
        <v>17</v>
      </c>
      <c r="K57" s="49" t="str">
        <f t="shared" si="1"/>
        <v>-</v>
      </c>
    </row>
    <row r="58" spans="1:11" ht="30">
      <c r="A58" s="16"/>
      <c r="B58" s="31" t="s">
        <v>35</v>
      </c>
      <c r="C58" s="9" t="s">
        <v>30</v>
      </c>
      <c r="D58" s="18"/>
      <c r="E58" s="18"/>
      <c r="F58" s="18"/>
      <c r="G58" s="18">
        <v>30731.8</v>
      </c>
      <c r="H58" s="14"/>
      <c r="I58" s="18">
        <f>I57/I59/12*1000</f>
        <v>23982.916666666664</v>
      </c>
      <c r="J58" s="232" t="s">
        <v>438</v>
      </c>
      <c r="K58" s="49" t="str">
        <f t="shared" si="1"/>
        <v>-</v>
      </c>
    </row>
    <row r="59" spans="1:11" ht="60">
      <c r="A59" s="16"/>
      <c r="B59" s="31" t="s">
        <v>36</v>
      </c>
      <c r="C59" s="9" t="s">
        <v>32</v>
      </c>
      <c r="D59" s="18"/>
      <c r="E59" s="18"/>
      <c r="F59" s="18"/>
      <c r="G59" s="18">
        <v>8</v>
      </c>
      <c r="H59" s="14"/>
      <c r="I59" s="18">
        <v>5</v>
      </c>
      <c r="J59" s="232" t="s">
        <v>439</v>
      </c>
      <c r="K59" s="49" t="str">
        <f t="shared" si="1"/>
        <v>-</v>
      </c>
    </row>
    <row r="60" spans="1:11" ht="30">
      <c r="A60" s="16" t="s">
        <v>164</v>
      </c>
      <c r="B60" s="22" t="s">
        <v>37</v>
      </c>
      <c r="C60" s="9" t="s">
        <v>24</v>
      </c>
      <c r="D60" s="18"/>
      <c r="E60" s="18"/>
      <c r="F60" s="18"/>
      <c r="G60" s="18">
        <v>891</v>
      </c>
      <c r="H60" s="14"/>
      <c r="I60" s="18">
        <f>I57*30.2%</f>
        <v>434.57044999999994</v>
      </c>
      <c r="J60" s="233" t="s">
        <v>437</v>
      </c>
      <c r="K60" s="49" t="str">
        <f t="shared" si="1"/>
        <v>-</v>
      </c>
    </row>
    <row r="61" spans="1:11" s="15" customFormat="1" ht="45" customHeight="1">
      <c r="A61" s="10" t="s">
        <v>139</v>
      </c>
      <c r="B61" s="21" t="s">
        <v>38</v>
      </c>
      <c r="C61" s="16" t="s">
        <v>24</v>
      </c>
      <c r="D61" s="18">
        <v>0</v>
      </c>
      <c r="E61" s="18">
        <v>0</v>
      </c>
      <c r="F61" s="18">
        <v>0</v>
      </c>
      <c r="G61" s="18">
        <v>0</v>
      </c>
      <c r="H61" s="14"/>
      <c r="I61" s="18">
        <v>0</v>
      </c>
      <c r="J61" s="14"/>
      <c r="K61" s="49" t="str">
        <f t="shared" si="1"/>
        <v>-</v>
      </c>
    </row>
    <row r="62" spans="1:11" s="15" customFormat="1" ht="15" customHeight="1">
      <c r="A62" s="10" t="s">
        <v>140</v>
      </c>
      <c r="B62" s="21" t="s">
        <v>39</v>
      </c>
      <c r="C62" s="16" t="s">
        <v>24</v>
      </c>
      <c r="D62" s="18"/>
      <c r="E62" s="18"/>
      <c r="F62" s="18"/>
      <c r="G62" s="18">
        <v>0</v>
      </c>
      <c r="H62" s="14"/>
      <c r="I62" s="18">
        <v>0</v>
      </c>
      <c r="J62" s="14" t="s">
        <v>440</v>
      </c>
      <c r="K62" s="49" t="str">
        <f t="shared" si="1"/>
        <v>-</v>
      </c>
    </row>
    <row r="63" spans="1:11" s="15" customFormat="1" ht="15">
      <c r="A63" s="10" t="s">
        <v>141</v>
      </c>
      <c r="B63" s="21" t="s">
        <v>40</v>
      </c>
      <c r="C63" s="42" t="s">
        <v>24</v>
      </c>
      <c r="D63" s="46">
        <f>ROUND(D64,1)+ROUND(D65,1)+ROUND(D66,1)+ROUND(D67,1)+ROUND(D68,1)+ROUND(D69,1)+ROUND(D70,1)</f>
        <v>0</v>
      </c>
      <c r="E63" s="46">
        <f>ROUND(E64,1)+ROUND(E65,1)+ROUND(E66,1)+ROUND(E67,1)+ROUND(E68,1)+ROUND(E69,1)+ROUND(E70,1)</f>
        <v>0</v>
      </c>
      <c r="F63" s="46">
        <f>ROUND(F64,1)+ROUND(F65,1)+ROUND(F66,1)+ROUND(F67,1)+ROUND(F68,1)+ROUND(F69,1)+ROUND(F70,1)</f>
        <v>0</v>
      </c>
      <c r="G63" s="46">
        <v>1150.3</v>
      </c>
      <c r="H63" s="14"/>
      <c r="I63" s="46">
        <f>ROUND(I64,1)+ROUND(I65,1)+ROUND(I66,1)+ROUND(I67,1)+ROUND(I68,1)+ROUND(I69,1)+ROUND(I70,1)</f>
        <v>1027.8</v>
      </c>
      <c r="J63" s="14" t="s">
        <v>17</v>
      </c>
      <c r="K63" s="49" t="str">
        <f t="shared" si="1"/>
        <v>-</v>
      </c>
    </row>
    <row r="64" spans="1:11" s="15" customFormat="1" ht="33" customHeight="1">
      <c r="A64" s="16" t="s">
        <v>165</v>
      </c>
      <c r="B64" s="24" t="s">
        <v>185</v>
      </c>
      <c r="C64" s="9" t="s">
        <v>24</v>
      </c>
      <c r="D64" s="46"/>
      <c r="E64" s="46"/>
      <c r="F64" s="46"/>
      <c r="G64" s="46"/>
      <c r="H64" s="14"/>
      <c r="I64" s="46"/>
      <c r="J64" s="14"/>
      <c r="K64" s="49" t="str">
        <f t="shared" si="1"/>
        <v>-</v>
      </c>
    </row>
    <row r="65" spans="1:11" s="15" customFormat="1" ht="57.75" customHeight="1">
      <c r="A65" s="16" t="s">
        <v>166</v>
      </c>
      <c r="B65" s="24" t="s">
        <v>186</v>
      </c>
      <c r="C65" s="9" t="s">
        <v>24</v>
      </c>
      <c r="D65" s="46"/>
      <c r="E65" s="46"/>
      <c r="F65" s="46"/>
      <c r="G65" s="46">
        <v>141.7</v>
      </c>
      <c r="H65" s="14" t="s">
        <v>446</v>
      </c>
      <c r="I65" s="46">
        <v>141.7</v>
      </c>
      <c r="J65" s="14" t="s">
        <v>438</v>
      </c>
      <c r="K65" s="49" t="str">
        <f t="shared" si="1"/>
        <v>-</v>
      </c>
    </row>
    <row r="66" spans="1:11" ht="15">
      <c r="A66" s="16" t="s">
        <v>167</v>
      </c>
      <c r="B66" s="24" t="s">
        <v>41</v>
      </c>
      <c r="C66" s="9" t="s">
        <v>24</v>
      </c>
      <c r="D66" s="18"/>
      <c r="E66" s="18"/>
      <c r="F66" s="18"/>
      <c r="G66" s="18"/>
      <c r="H66" s="14"/>
      <c r="I66" s="18"/>
      <c r="J66" s="14"/>
      <c r="K66" s="49" t="str">
        <f t="shared" si="1"/>
        <v>-</v>
      </c>
    </row>
    <row r="67" spans="1:11" ht="33" customHeight="1">
      <c r="A67" s="16" t="s">
        <v>168</v>
      </c>
      <c r="B67" s="24" t="s">
        <v>42</v>
      </c>
      <c r="C67" s="9" t="s">
        <v>24</v>
      </c>
      <c r="D67" s="18"/>
      <c r="E67" s="18"/>
      <c r="F67" s="18"/>
      <c r="G67" s="18"/>
      <c r="H67" s="14"/>
      <c r="I67" s="18"/>
      <c r="J67" s="14"/>
      <c r="K67" s="49" t="str">
        <f t="shared" si="1"/>
        <v>-</v>
      </c>
    </row>
    <row r="68" spans="1:11" ht="30">
      <c r="A68" s="16" t="s">
        <v>169</v>
      </c>
      <c r="B68" s="24" t="s">
        <v>43</v>
      </c>
      <c r="C68" s="9" t="s">
        <v>24</v>
      </c>
      <c r="D68" s="18"/>
      <c r="E68" s="18"/>
      <c r="F68" s="18"/>
      <c r="G68" s="18"/>
      <c r="H68" s="14"/>
      <c r="I68" s="18"/>
      <c r="J68" s="14"/>
      <c r="K68" s="49" t="str">
        <f t="shared" si="1"/>
        <v>-</v>
      </c>
    </row>
    <row r="69" spans="1:11" ht="30">
      <c r="A69" s="16" t="s">
        <v>170</v>
      </c>
      <c r="B69" s="24" t="s">
        <v>339</v>
      </c>
      <c r="C69" s="9" t="s">
        <v>24</v>
      </c>
      <c r="D69" s="18"/>
      <c r="E69" s="18"/>
      <c r="F69" s="18"/>
      <c r="G69" s="18">
        <v>720</v>
      </c>
      <c r="H69" s="14" t="s">
        <v>447</v>
      </c>
      <c r="I69" s="18">
        <v>720</v>
      </c>
      <c r="J69" s="14" t="s">
        <v>448</v>
      </c>
      <c r="K69" s="49" t="str">
        <f t="shared" si="1"/>
        <v>-</v>
      </c>
    </row>
    <row r="70" spans="1:11" ht="63.75" customHeight="1">
      <c r="A70" s="16" t="s">
        <v>169</v>
      </c>
      <c r="B70" s="24" t="s">
        <v>44</v>
      </c>
      <c r="C70" s="9" t="s">
        <v>24</v>
      </c>
      <c r="D70" s="18"/>
      <c r="E70" s="18"/>
      <c r="F70" s="18"/>
      <c r="G70" s="18">
        <v>288.7</v>
      </c>
      <c r="H70" s="14" t="s">
        <v>449</v>
      </c>
      <c r="I70" s="18">
        <v>166.051</v>
      </c>
      <c r="J70" s="14" t="s">
        <v>450</v>
      </c>
      <c r="K70" s="49" t="str">
        <f t="shared" si="1"/>
        <v>-</v>
      </c>
    </row>
    <row r="71" spans="1:11" s="15" customFormat="1" ht="15" customHeight="1">
      <c r="A71" s="41" t="s">
        <v>10</v>
      </c>
      <c r="B71" s="11" t="s">
        <v>45</v>
      </c>
      <c r="C71" s="12" t="s">
        <v>24</v>
      </c>
      <c r="D71" s="13">
        <f>ROUND(D72,1)+ROUND(D73,1)+ROUND(D74,1)+ROUND(D77,1)</f>
        <v>0</v>
      </c>
      <c r="E71" s="13">
        <f>ROUND(E72,1)+ROUND(E73,1)+ROUND(E74,1)+ROUND(E77,1)</f>
        <v>0</v>
      </c>
      <c r="F71" s="13">
        <f>ROUND(F72,1)+ROUND(F73,1)+ROUND(F74,1)+ROUND(F77,1)</f>
        <v>0</v>
      </c>
      <c r="G71" s="13">
        <f>ROUND(G72,1)+ROUND(G73,1)+ROUND(G74,1)+ROUND(G77,1)</f>
        <v>1500</v>
      </c>
      <c r="H71" s="14"/>
      <c r="I71" s="13">
        <f>ROUND(I72,1)+ROUND(I73,1)+ROUND(I74,1)+ROUND(I77,1)</f>
        <v>399.8</v>
      </c>
      <c r="J71" s="14"/>
      <c r="K71" s="52" t="str">
        <f t="shared" si="1"/>
        <v>-</v>
      </c>
    </row>
    <row r="72" spans="1:11" s="15" customFormat="1" ht="45.75" customHeight="1">
      <c r="A72" s="16" t="s">
        <v>145</v>
      </c>
      <c r="B72" s="21" t="s">
        <v>182</v>
      </c>
      <c r="C72" s="16" t="s">
        <v>24</v>
      </c>
      <c r="D72" s="18"/>
      <c r="E72" s="18"/>
      <c r="F72" s="18"/>
      <c r="G72" s="18">
        <v>500</v>
      </c>
      <c r="H72" s="14" t="s">
        <v>451</v>
      </c>
      <c r="I72" s="18">
        <v>399.8375</v>
      </c>
      <c r="J72" s="14" t="s">
        <v>452</v>
      </c>
      <c r="K72" s="49" t="str">
        <f t="shared" si="1"/>
        <v>-</v>
      </c>
    </row>
    <row r="73" spans="1:11" s="15" customFormat="1" ht="45">
      <c r="A73" s="16" t="s">
        <v>146</v>
      </c>
      <c r="B73" s="21" t="s">
        <v>183</v>
      </c>
      <c r="C73" s="16" t="s">
        <v>24</v>
      </c>
      <c r="D73" s="18"/>
      <c r="E73" s="18"/>
      <c r="F73" s="18"/>
      <c r="G73" s="18">
        <v>1000</v>
      </c>
      <c r="H73" s="14"/>
      <c r="I73" s="18"/>
      <c r="J73" s="14" t="s">
        <v>440</v>
      </c>
      <c r="K73" s="49" t="str">
        <f t="shared" si="1"/>
        <v>-</v>
      </c>
    </row>
    <row r="74" spans="1:11" s="15" customFormat="1" ht="28.5" customHeight="1">
      <c r="A74" s="16" t="s">
        <v>147</v>
      </c>
      <c r="B74" s="21" t="s">
        <v>46</v>
      </c>
      <c r="C74" s="16" t="s">
        <v>24</v>
      </c>
      <c r="D74" s="18"/>
      <c r="E74" s="18"/>
      <c r="F74" s="18"/>
      <c r="G74" s="18"/>
      <c r="H74" s="14"/>
      <c r="I74" s="18"/>
      <c r="J74" s="14"/>
      <c r="K74" s="49" t="str">
        <f t="shared" si="1"/>
        <v>-</v>
      </c>
    </row>
    <row r="75" spans="1:11" s="15" customFormat="1" ht="28.5" customHeight="1">
      <c r="A75" s="16"/>
      <c r="B75" s="22" t="s">
        <v>47</v>
      </c>
      <c r="C75" s="16"/>
      <c r="D75" s="18"/>
      <c r="E75" s="18"/>
      <c r="F75" s="18"/>
      <c r="G75" s="18"/>
      <c r="H75" s="14"/>
      <c r="I75" s="18"/>
      <c r="J75" s="14"/>
      <c r="K75" s="49" t="str">
        <f t="shared" si="1"/>
        <v>-</v>
      </c>
    </row>
    <row r="76" spans="1:11" s="15" customFormat="1" ht="28.5" customHeight="1">
      <c r="A76" s="16"/>
      <c r="B76" s="22" t="s">
        <v>48</v>
      </c>
      <c r="C76" s="16"/>
      <c r="D76" s="18"/>
      <c r="E76" s="18"/>
      <c r="F76" s="18"/>
      <c r="G76" s="18"/>
      <c r="H76" s="14"/>
      <c r="I76" s="18"/>
      <c r="J76" s="14"/>
      <c r="K76" s="49" t="str">
        <f t="shared" si="1"/>
        <v>-</v>
      </c>
    </row>
    <row r="77" spans="1:11" s="15" customFormat="1" ht="30">
      <c r="A77" s="16" t="s">
        <v>148</v>
      </c>
      <c r="B77" s="21" t="s">
        <v>49</v>
      </c>
      <c r="C77" s="16" t="s">
        <v>24</v>
      </c>
      <c r="D77" s="18"/>
      <c r="E77" s="18"/>
      <c r="F77" s="18"/>
      <c r="G77" s="18"/>
      <c r="H77" s="14"/>
      <c r="I77" s="18"/>
      <c r="J77" s="14"/>
      <c r="K77" s="49" t="str">
        <f t="shared" si="1"/>
        <v>-</v>
      </c>
    </row>
    <row r="78" spans="1:11" s="15" customFormat="1" ht="15" customHeight="1">
      <c r="A78" s="10" t="s">
        <v>11</v>
      </c>
      <c r="B78" s="17" t="s">
        <v>50</v>
      </c>
      <c r="C78" s="42" t="s">
        <v>24</v>
      </c>
      <c r="D78" s="46">
        <f>ROUND(D79,1)+ROUND(D82,1)+ROUND(D83,1)</f>
        <v>0</v>
      </c>
      <c r="E78" s="46">
        <f>ROUND(E79,1)+ROUND(E82,1)+ROUND(E83,1)</f>
        <v>0</v>
      </c>
      <c r="F78" s="46">
        <f>ROUND(F79,1)+ROUND(F82,1)+ROUND(F83,1)</f>
        <v>0</v>
      </c>
      <c r="G78" s="46">
        <f>ROUND(G79,1)+ROUND(G82,1)+ROUND(G83,1)</f>
        <v>6689.200000000001</v>
      </c>
      <c r="H78" s="14"/>
      <c r="I78" s="46">
        <f>ROUND(I79,1)+ROUND(I82,1)+ROUND(I83,1)</f>
        <v>3394.2</v>
      </c>
      <c r="J78" s="14" t="s">
        <v>17</v>
      </c>
      <c r="K78" s="49" t="str">
        <f t="shared" si="1"/>
        <v>-</v>
      </c>
    </row>
    <row r="79" spans="1:11" s="15" customFormat="1" ht="15">
      <c r="A79" s="10" t="s">
        <v>118</v>
      </c>
      <c r="B79" s="21" t="s">
        <v>51</v>
      </c>
      <c r="C79" s="16" t="s">
        <v>24</v>
      </c>
      <c r="D79" s="18"/>
      <c r="E79" s="18"/>
      <c r="F79" s="18"/>
      <c r="G79" s="18">
        <v>4627.2</v>
      </c>
      <c r="H79" s="14"/>
      <c r="I79" s="18">
        <v>2142.7</v>
      </c>
      <c r="J79" s="14" t="s">
        <v>17</v>
      </c>
      <c r="K79" s="49" t="str">
        <f t="shared" si="1"/>
        <v>-</v>
      </c>
    </row>
    <row r="80" spans="1:11" s="15" customFormat="1" ht="30">
      <c r="A80" s="16"/>
      <c r="B80" s="22" t="s">
        <v>52</v>
      </c>
      <c r="C80" s="9" t="s">
        <v>30</v>
      </c>
      <c r="D80" s="18"/>
      <c r="E80" s="18"/>
      <c r="F80" s="18"/>
      <c r="G80" s="18">
        <v>55085.7</v>
      </c>
      <c r="H80" s="14"/>
      <c r="I80" s="18">
        <f>I79/I81/12*1000</f>
        <v>39679.62962962962</v>
      </c>
      <c r="J80" s="232" t="s">
        <v>441</v>
      </c>
      <c r="K80" s="49" t="str">
        <f t="shared" si="1"/>
        <v>-</v>
      </c>
    </row>
    <row r="81" spans="1:11" s="15" customFormat="1" ht="70.5" customHeight="1">
      <c r="A81" s="16"/>
      <c r="B81" s="22" t="s">
        <v>53</v>
      </c>
      <c r="C81" s="16" t="s">
        <v>32</v>
      </c>
      <c r="D81" s="18"/>
      <c r="E81" s="18"/>
      <c r="F81" s="18"/>
      <c r="G81" s="18">
        <v>7</v>
      </c>
      <c r="H81" s="14" t="s">
        <v>444</v>
      </c>
      <c r="I81" s="18">
        <v>4.5</v>
      </c>
      <c r="J81" s="232" t="s">
        <v>439</v>
      </c>
      <c r="K81" s="49" t="str">
        <f t="shared" si="1"/>
        <v>-</v>
      </c>
    </row>
    <row r="82" spans="1:11" s="15" customFormat="1" ht="30">
      <c r="A82" s="10" t="s">
        <v>120</v>
      </c>
      <c r="B82" s="21" t="s">
        <v>54</v>
      </c>
      <c r="C82" s="16" t="s">
        <v>24</v>
      </c>
      <c r="D82" s="18"/>
      <c r="E82" s="18"/>
      <c r="F82" s="18"/>
      <c r="G82" s="18">
        <v>1397.4</v>
      </c>
      <c r="H82" s="14"/>
      <c r="I82" s="18">
        <f>I79*30.2/100</f>
        <v>647.0953999999999</v>
      </c>
      <c r="J82" s="233" t="s">
        <v>437</v>
      </c>
      <c r="K82" s="49" t="str">
        <f t="shared" si="1"/>
        <v>-</v>
      </c>
    </row>
    <row r="83" spans="1:11" s="15" customFormat="1" ht="180">
      <c r="A83" s="10" t="s">
        <v>122</v>
      </c>
      <c r="B83" s="21" t="s">
        <v>188</v>
      </c>
      <c r="C83" s="16" t="s">
        <v>24</v>
      </c>
      <c r="D83" s="18"/>
      <c r="E83" s="18"/>
      <c r="F83" s="18"/>
      <c r="G83" s="18">
        <v>664.6</v>
      </c>
      <c r="H83" s="321" t="s">
        <v>453</v>
      </c>
      <c r="I83" s="18">
        <v>604.4</v>
      </c>
      <c r="J83" s="14" t="s">
        <v>454</v>
      </c>
      <c r="K83" s="49" t="str">
        <f t="shared" si="1"/>
        <v>-</v>
      </c>
    </row>
    <row r="84" spans="1:11" s="15" customFormat="1" ht="30" hidden="1">
      <c r="A84" s="16" t="s">
        <v>8</v>
      </c>
      <c r="B84" s="32" t="s">
        <v>56</v>
      </c>
      <c r="C84" s="16" t="s">
        <v>24</v>
      </c>
      <c r="D84" s="18"/>
      <c r="E84" s="18"/>
      <c r="F84" s="18"/>
      <c r="G84" s="18"/>
      <c r="H84" s="14"/>
      <c r="I84" s="18"/>
      <c r="J84" s="14"/>
      <c r="K84" s="49" t="str">
        <f t="shared" si="1"/>
        <v>-</v>
      </c>
    </row>
    <row r="85" spans="1:11" s="15" customFormat="1" ht="15" hidden="1">
      <c r="A85" s="16"/>
      <c r="B85" s="33" t="s">
        <v>57</v>
      </c>
      <c r="C85" s="16" t="s">
        <v>24</v>
      </c>
      <c r="D85" s="18"/>
      <c r="E85" s="18"/>
      <c r="F85" s="18"/>
      <c r="G85" s="18"/>
      <c r="H85" s="14"/>
      <c r="I85" s="18"/>
      <c r="J85" s="14"/>
      <c r="K85" s="49" t="str">
        <f t="shared" si="1"/>
        <v>-</v>
      </c>
    </row>
    <row r="86" spans="1:11" s="15" customFormat="1" ht="15" hidden="1">
      <c r="A86" s="16"/>
      <c r="B86" s="33" t="s">
        <v>58</v>
      </c>
      <c r="C86" s="16" t="s">
        <v>24</v>
      </c>
      <c r="D86" s="18"/>
      <c r="E86" s="18"/>
      <c r="F86" s="18"/>
      <c r="G86" s="18"/>
      <c r="H86" s="14"/>
      <c r="I86" s="18"/>
      <c r="J86" s="14"/>
      <c r="K86" s="49" t="str">
        <f t="shared" si="1"/>
        <v>-</v>
      </c>
    </row>
    <row r="87" spans="1:11" s="15" customFormat="1" ht="15" hidden="1">
      <c r="A87" s="16"/>
      <c r="B87" s="33" t="s">
        <v>59</v>
      </c>
      <c r="C87" s="16" t="s">
        <v>24</v>
      </c>
      <c r="D87" s="18"/>
      <c r="E87" s="18"/>
      <c r="F87" s="18"/>
      <c r="G87" s="18"/>
      <c r="H87" s="14"/>
      <c r="I87" s="18"/>
      <c r="J87" s="14"/>
      <c r="K87" s="49" t="str">
        <f t="shared" si="1"/>
        <v>-</v>
      </c>
    </row>
    <row r="88" spans="1:11" s="15" customFormat="1" ht="15" hidden="1">
      <c r="A88" s="16"/>
      <c r="B88" s="33" t="s">
        <v>60</v>
      </c>
      <c r="C88" s="16" t="s">
        <v>24</v>
      </c>
      <c r="D88" s="18"/>
      <c r="E88" s="18"/>
      <c r="F88" s="18"/>
      <c r="G88" s="18"/>
      <c r="H88" s="14"/>
      <c r="I88" s="18"/>
      <c r="J88" s="14"/>
      <c r="K88" s="49" t="str">
        <f aca="true" t="shared" si="2" ref="K88:K120">IF(F88&gt;0,I88/F88,"-")</f>
        <v>-</v>
      </c>
    </row>
    <row r="89" spans="1:11" s="15" customFormat="1" ht="30" hidden="1">
      <c r="A89" s="16"/>
      <c r="B89" s="33" t="s">
        <v>61</v>
      </c>
      <c r="C89" s="16" t="s">
        <v>24</v>
      </c>
      <c r="D89" s="18"/>
      <c r="E89" s="18"/>
      <c r="F89" s="18"/>
      <c r="G89" s="18"/>
      <c r="H89" s="14"/>
      <c r="I89" s="18"/>
      <c r="J89" s="14"/>
      <c r="K89" s="49" t="str">
        <f t="shared" si="2"/>
        <v>-</v>
      </c>
    </row>
    <row r="90" spans="1:11" s="15" customFormat="1" ht="15" hidden="1">
      <c r="A90" s="16"/>
      <c r="B90" s="33" t="s">
        <v>62</v>
      </c>
      <c r="C90" s="16" t="s">
        <v>24</v>
      </c>
      <c r="D90" s="18"/>
      <c r="E90" s="18"/>
      <c r="F90" s="18"/>
      <c r="G90" s="18"/>
      <c r="H90" s="14"/>
      <c r="I90" s="18"/>
      <c r="J90" s="14"/>
      <c r="K90" s="49" t="str">
        <f t="shared" si="2"/>
        <v>-</v>
      </c>
    </row>
    <row r="91" spans="1:11" s="15" customFormat="1" ht="60" hidden="1">
      <c r="A91" s="16" t="s">
        <v>10</v>
      </c>
      <c r="B91" s="32" t="s">
        <v>63</v>
      </c>
      <c r="C91" s="16" t="s">
        <v>24</v>
      </c>
      <c r="D91" s="18"/>
      <c r="E91" s="18"/>
      <c r="F91" s="18"/>
      <c r="G91" s="18"/>
      <c r="H91" s="14"/>
      <c r="I91" s="18"/>
      <c r="J91" s="14"/>
      <c r="K91" s="49" t="str">
        <f t="shared" si="2"/>
        <v>-</v>
      </c>
    </row>
    <row r="92" spans="1:11" s="15" customFormat="1" ht="15" hidden="1">
      <c r="A92" s="16" t="s">
        <v>11</v>
      </c>
      <c r="B92" s="33" t="s">
        <v>64</v>
      </c>
      <c r="C92" s="16" t="s">
        <v>24</v>
      </c>
      <c r="D92" s="18"/>
      <c r="E92" s="18"/>
      <c r="F92" s="18"/>
      <c r="G92" s="18"/>
      <c r="H92" s="14"/>
      <c r="I92" s="18"/>
      <c r="J92" s="14"/>
      <c r="K92" s="49" t="str">
        <f t="shared" si="2"/>
        <v>-</v>
      </c>
    </row>
    <row r="93" spans="1:11" s="15" customFormat="1" ht="15" hidden="1">
      <c r="A93" s="16" t="s">
        <v>12</v>
      </c>
      <c r="B93" s="33" t="s">
        <v>65</v>
      </c>
      <c r="C93" s="16" t="s">
        <v>24</v>
      </c>
      <c r="D93" s="18"/>
      <c r="E93" s="18"/>
      <c r="F93" s="18"/>
      <c r="G93" s="18"/>
      <c r="H93" s="14"/>
      <c r="I93" s="18"/>
      <c r="J93" s="14"/>
      <c r="K93" s="49" t="str">
        <f t="shared" si="2"/>
        <v>-</v>
      </c>
    </row>
    <row r="94" spans="1:11" s="15" customFormat="1" ht="45" hidden="1">
      <c r="A94" s="16" t="s">
        <v>13</v>
      </c>
      <c r="B94" s="32" t="s">
        <v>66</v>
      </c>
      <c r="C94" s="16" t="s">
        <v>24</v>
      </c>
      <c r="D94" s="18"/>
      <c r="E94" s="18"/>
      <c r="F94" s="18"/>
      <c r="G94" s="18"/>
      <c r="H94" s="14"/>
      <c r="I94" s="18"/>
      <c r="J94" s="14"/>
      <c r="K94" s="49" t="str">
        <f t="shared" si="2"/>
        <v>-</v>
      </c>
    </row>
    <row r="95" spans="1:11" s="15" customFormat="1" ht="15" hidden="1">
      <c r="A95" s="16" t="s">
        <v>14</v>
      </c>
      <c r="B95" s="32" t="s">
        <v>55</v>
      </c>
      <c r="C95" s="16" t="s">
        <v>24</v>
      </c>
      <c r="D95" s="18"/>
      <c r="E95" s="18"/>
      <c r="F95" s="18"/>
      <c r="G95" s="18"/>
      <c r="H95" s="14"/>
      <c r="I95" s="18"/>
      <c r="J95" s="14"/>
      <c r="K95" s="49" t="str">
        <f t="shared" si="2"/>
        <v>-</v>
      </c>
    </row>
    <row r="96" spans="1:11" ht="30" hidden="1">
      <c r="A96" s="16"/>
      <c r="B96" s="33" t="s">
        <v>67</v>
      </c>
      <c r="C96" s="9" t="s">
        <v>24</v>
      </c>
      <c r="D96" s="18"/>
      <c r="E96" s="18"/>
      <c r="F96" s="18"/>
      <c r="G96" s="18"/>
      <c r="H96" s="14"/>
      <c r="I96" s="18"/>
      <c r="J96" s="14"/>
      <c r="K96" s="49" t="str">
        <f t="shared" si="2"/>
        <v>-</v>
      </c>
    </row>
    <row r="97" spans="1:11" ht="75" hidden="1">
      <c r="A97" s="16"/>
      <c r="B97" s="33" t="s">
        <v>68</v>
      </c>
      <c r="C97" s="9" t="s">
        <v>24</v>
      </c>
      <c r="D97" s="18"/>
      <c r="E97" s="18"/>
      <c r="F97" s="18"/>
      <c r="G97" s="18"/>
      <c r="H97" s="14"/>
      <c r="I97" s="18"/>
      <c r="J97" s="14"/>
      <c r="K97" s="49" t="str">
        <f t="shared" si="2"/>
        <v>-</v>
      </c>
    </row>
    <row r="98" spans="1:11" s="15" customFormat="1" ht="46.5" customHeight="1">
      <c r="A98" s="41" t="s">
        <v>12</v>
      </c>
      <c r="B98" s="17" t="s">
        <v>115</v>
      </c>
      <c r="C98" s="16" t="s">
        <v>24</v>
      </c>
      <c r="D98" s="18">
        <v>0</v>
      </c>
      <c r="E98" s="18">
        <v>0</v>
      </c>
      <c r="F98" s="18">
        <v>0</v>
      </c>
      <c r="G98" s="18">
        <v>0</v>
      </c>
      <c r="H98" s="14"/>
      <c r="I98" s="18">
        <v>0</v>
      </c>
      <c r="J98" s="14"/>
      <c r="K98" s="49" t="str">
        <f t="shared" si="2"/>
        <v>-</v>
      </c>
    </row>
    <row r="99" spans="1:11" s="15" customFormat="1" ht="15">
      <c r="A99" s="41" t="s">
        <v>13</v>
      </c>
      <c r="B99" s="34" t="s">
        <v>116</v>
      </c>
      <c r="C99" s="16" t="s">
        <v>24</v>
      </c>
      <c r="D99" s="18">
        <v>0</v>
      </c>
      <c r="E99" s="18">
        <v>0</v>
      </c>
      <c r="F99" s="18">
        <v>0</v>
      </c>
      <c r="G99" s="18">
        <v>0</v>
      </c>
      <c r="H99" s="14"/>
      <c r="I99" s="18">
        <v>0</v>
      </c>
      <c r="J99" s="14"/>
      <c r="K99" s="49" t="str">
        <f t="shared" si="2"/>
        <v>-</v>
      </c>
    </row>
    <row r="100" spans="1:11" s="15" customFormat="1" ht="58.5" customHeight="1">
      <c r="A100" s="41" t="s">
        <v>14</v>
      </c>
      <c r="B100" s="17" t="s">
        <v>184</v>
      </c>
      <c r="C100" s="16" t="s">
        <v>24</v>
      </c>
      <c r="D100" s="18">
        <v>0</v>
      </c>
      <c r="E100" s="18">
        <v>0</v>
      </c>
      <c r="F100" s="18">
        <v>0</v>
      </c>
      <c r="G100" s="18">
        <v>106</v>
      </c>
      <c r="H100" s="14" t="s">
        <v>455</v>
      </c>
      <c r="I100" s="18">
        <v>106</v>
      </c>
      <c r="J100" s="14" t="s">
        <v>456</v>
      </c>
      <c r="K100" s="49" t="str">
        <f t="shared" si="2"/>
        <v>-</v>
      </c>
    </row>
    <row r="101" spans="1:11" s="15" customFormat="1" ht="28.5" customHeight="1">
      <c r="A101" s="41" t="s">
        <v>16</v>
      </c>
      <c r="B101" s="17" t="s">
        <v>106</v>
      </c>
      <c r="C101" s="42" t="s">
        <v>24</v>
      </c>
      <c r="D101" s="46">
        <f>ROUND(D102,1)+ROUND(D103,1)+ROUND(D104,1)+ROUND(D105,1)+ROUND(D106,1)+ROUND(D107,1)+ROUND(D108,1)</f>
        <v>0</v>
      </c>
      <c r="E101" s="46">
        <f>ROUND(E102,1)+ROUND(E103,1)+ROUND(E104,1)+ROUND(E105,1)+ROUND(E106,1)+ROUND(E107,1)+ROUND(E108,1)</f>
        <v>0</v>
      </c>
      <c r="F101" s="46">
        <f>ROUND(F102,1)+ROUND(F103,1)+ROUND(F104,1)+ROUND(F105,1)+ROUND(F106,1)+ROUND(F107,1)+ROUND(F108,1)</f>
        <v>0</v>
      </c>
      <c r="G101" s="46">
        <f>ROUND(G102,1)+ROUND(G103,1)+ROUND(G104,1)+ROUND(G105,1)+ROUND(G106,1)+ROUND(G107,1)+ROUND(G108,1)</f>
        <v>1209.7</v>
      </c>
      <c r="H101" s="14"/>
      <c r="I101" s="46">
        <f>ROUND(I102,1)+ROUND(I103,1)+ROUND(I104,1)+ROUND(I105,1)+ROUND(I106,1)+ROUND(I107,1)+ROUND(I108,1)</f>
        <v>1051.4</v>
      </c>
      <c r="J101" s="14" t="s">
        <v>17</v>
      </c>
      <c r="K101" s="49" t="str">
        <f t="shared" si="2"/>
        <v>-</v>
      </c>
    </row>
    <row r="102" spans="1:11" s="15" customFormat="1" ht="15" customHeight="1">
      <c r="A102" s="16"/>
      <c r="B102" s="21" t="s">
        <v>107</v>
      </c>
      <c r="C102" s="16" t="s">
        <v>24</v>
      </c>
      <c r="D102" s="18"/>
      <c r="E102" s="18"/>
      <c r="F102" s="18"/>
      <c r="G102" s="18">
        <v>0</v>
      </c>
      <c r="H102" s="14"/>
      <c r="I102" s="18"/>
      <c r="J102" s="14"/>
      <c r="K102" s="49" t="str">
        <f t="shared" si="2"/>
        <v>-</v>
      </c>
    </row>
    <row r="103" spans="1:11" s="15" customFormat="1" ht="15" customHeight="1">
      <c r="A103" s="16"/>
      <c r="B103" s="21" t="s">
        <v>108</v>
      </c>
      <c r="C103" s="16" t="s">
        <v>24</v>
      </c>
      <c r="D103" s="18"/>
      <c r="E103" s="18"/>
      <c r="F103" s="18"/>
      <c r="G103" s="18"/>
      <c r="H103" s="14"/>
      <c r="I103" s="18"/>
      <c r="J103" s="14"/>
      <c r="K103" s="49" t="str">
        <f t="shared" si="2"/>
        <v>-</v>
      </c>
    </row>
    <row r="104" spans="1:11" s="15" customFormat="1" ht="15" customHeight="1">
      <c r="A104" s="16"/>
      <c r="B104" s="21" t="s">
        <v>109</v>
      </c>
      <c r="C104" s="16" t="s">
        <v>24</v>
      </c>
      <c r="D104" s="18"/>
      <c r="E104" s="18"/>
      <c r="F104" s="18"/>
      <c r="G104" s="18">
        <v>218</v>
      </c>
      <c r="H104" s="14"/>
      <c r="I104" s="18">
        <v>218</v>
      </c>
      <c r="J104" s="14"/>
      <c r="K104" s="49" t="str">
        <f t="shared" si="2"/>
        <v>-</v>
      </c>
    </row>
    <row r="105" spans="1:11" s="15" customFormat="1" ht="15" customHeight="1">
      <c r="A105" s="16"/>
      <c r="B105" s="21" t="s">
        <v>110</v>
      </c>
      <c r="C105" s="16" t="s">
        <v>24</v>
      </c>
      <c r="D105" s="18"/>
      <c r="E105" s="18"/>
      <c r="F105" s="18"/>
      <c r="G105" s="18"/>
      <c r="H105" s="14"/>
      <c r="I105" s="18"/>
      <c r="J105" s="14"/>
      <c r="K105" s="49" t="str">
        <f t="shared" si="2"/>
        <v>-</v>
      </c>
    </row>
    <row r="106" spans="1:11" s="15" customFormat="1" ht="15" customHeight="1">
      <c r="A106" s="16"/>
      <c r="B106" s="21" t="s">
        <v>111</v>
      </c>
      <c r="C106" s="16" t="s">
        <v>24</v>
      </c>
      <c r="D106" s="18"/>
      <c r="E106" s="18"/>
      <c r="F106" s="18"/>
      <c r="G106" s="18"/>
      <c r="H106" s="14"/>
      <c r="I106" s="18"/>
      <c r="J106" s="14"/>
      <c r="K106" s="49" t="str">
        <f t="shared" si="2"/>
        <v>-</v>
      </c>
    </row>
    <row r="107" spans="1:11" s="15" customFormat="1" ht="30.75" customHeight="1">
      <c r="A107" s="16"/>
      <c r="B107" s="21" t="s">
        <v>112</v>
      </c>
      <c r="C107" s="16" t="s">
        <v>24</v>
      </c>
      <c r="D107" s="18"/>
      <c r="E107" s="18"/>
      <c r="F107" s="18"/>
      <c r="G107" s="18">
        <v>991.7</v>
      </c>
      <c r="H107" s="14" t="s">
        <v>457</v>
      </c>
      <c r="I107" s="18">
        <v>833.37</v>
      </c>
      <c r="J107" s="14" t="s">
        <v>458</v>
      </c>
      <c r="K107" s="49" t="str">
        <f t="shared" si="2"/>
        <v>-</v>
      </c>
    </row>
    <row r="108" spans="1:11" s="15" customFormat="1" ht="15" customHeight="1">
      <c r="A108" s="16"/>
      <c r="B108" s="21" t="s">
        <v>113</v>
      </c>
      <c r="C108" s="16" t="s">
        <v>24</v>
      </c>
      <c r="D108" s="18">
        <f>D109</f>
        <v>0</v>
      </c>
      <c r="E108" s="18">
        <f>E109</f>
        <v>0</v>
      </c>
      <c r="F108" s="18">
        <f>F109</f>
        <v>0</v>
      </c>
      <c r="G108" s="18">
        <f>G109</f>
        <v>0</v>
      </c>
      <c r="H108" s="14"/>
      <c r="I108" s="18">
        <f>I109</f>
        <v>0</v>
      </c>
      <c r="J108" s="14"/>
      <c r="K108" s="49" t="str">
        <f t="shared" si="2"/>
        <v>-</v>
      </c>
    </row>
    <row r="109" spans="1:11" s="15" customFormat="1" ht="48" customHeight="1">
      <c r="A109" s="16"/>
      <c r="B109" s="22" t="s">
        <v>114</v>
      </c>
      <c r="C109" s="16" t="s">
        <v>24</v>
      </c>
      <c r="D109" s="18"/>
      <c r="E109" s="18"/>
      <c r="F109" s="18"/>
      <c r="G109" s="18"/>
      <c r="H109" s="14"/>
      <c r="I109" s="18"/>
      <c r="J109" s="14"/>
      <c r="K109" s="49" t="str">
        <f t="shared" si="2"/>
        <v>-</v>
      </c>
    </row>
    <row r="110" spans="1:11" s="15" customFormat="1" ht="15" customHeight="1">
      <c r="A110" s="41" t="s">
        <v>135</v>
      </c>
      <c r="B110" s="34" t="s">
        <v>117</v>
      </c>
      <c r="C110" s="42" t="s">
        <v>24</v>
      </c>
      <c r="D110" s="46">
        <f>ROUND(D111,1)+ROUND(D112,1)+ROUND(D113,1)</f>
        <v>0</v>
      </c>
      <c r="E110" s="46">
        <f>ROUND(E111,1)+ROUND(E112,1)+ROUND(E113,1)</f>
        <v>0</v>
      </c>
      <c r="F110" s="46">
        <f>ROUND(F111,1)+ROUND(F112,1)+ROUND(F113,1)</f>
        <v>0</v>
      </c>
      <c r="G110" s="46">
        <f>ROUND(G111,1)+ROUND(G112,1)+ROUND(G113,1)</f>
        <v>2217.2</v>
      </c>
      <c r="H110" s="14"/>
      <c r="I110" s="46">
        <f>ROUND(I111,1)+ROUND(I112,1)+ROUND(I113,1)</f>
        <v>1847.7</v>
      </c>
      <c r="J110" s="14" t="s">
        <v>17</v>
      </c>
      <c r="K110" s="49" t="str">
        <f t="shared" si="2"/>
        <v>-</v>
      </c>
    </row>
    <row r="111" spans="1:11" ht="48" customHeight="1">
      <c r="A111" s="16" t="s">
        <v>142</v>
      </c>
      <c r="B111" s="29" t="s">
        <v>119</v>
      </c>
      <c r="C111" s="9" t="s">
        <v>24</v>
      </c>
      <c r="D111" s="18"/>
      <c r="E111" s="18"/>
      <c r="F111" s="18"/>
      <c r="G111" s="18">
        <v>2217.17</v>
      </c>
      <c r="H111" s="14" t="s">
        <v>445</v>
      </c>
      <c r="I111" s="18">
        <v>1847.67</v>
      </c>
      <c r="J111" s="14" t="s">
        <v>442</v>
      </c>
      <c r="K111" s="49" t="str">
        <f t="shared" si="2"/>
        <v>-</v>
      </c>
    </row>
    <row r="112" spans="1:11" ht="95.25" customHeight="1">
      <c r="A112" s="16" t="s">
        <v>143</v>
      </c>
      <c r="B112" s="29" t="s">
        <v>121</v>
      </c>
      <c r="C112" s="9" t="s">
        <v>24</v>
      </c>
      <c r="D112" s="18"/>
      <c r="E112" s="18"/>
      <c r="F112" s="18"/>
      <c r="G112" s="18"/>
      <c r="H112" s="14"/>
      <c r="I112" s="18"/>
      <c r="J112" s="14"/>
      <c r="K112" s="49" t="str">
        <f t="shared" si="2"/>
        <v>-</v>
      </c>
    </row>
    <row r="113" spans="1:11" ht="63" customHeight="1">
      <c r="A113" s="16" t="s">
        <v>144</v>
      </c>
      <c r="B113" s="29" t="s">
        <v>123</v>
      </c>
      <c r="C113" s="9" t="s">
        <v>24</v>
      </c>
      <c r="D113" s="18"/>
      <c r="E113" s="18"/>
      <c r="F113" s="18"/>
      <c r="G113" s="18"/>
      <c r="H113" s="14"/>
      <c r="I113" s="18"/>
      <c r="J113" s="14"/>
      <c r="K113" s="49" t="str">
        <f t="shared" si="2"/>
        <v>-</v>
      </c>
    </row>
    <row r="114" spans="1:11" s="15" customFormat="1" ht="30" customHeight="1">
      <c r="A114" s="41" t="s">
        <v>136</v>
      </c>
      <c r="B114" s="17" t="s">
        <v>124</v>
      </c>
      <c r="C114" s="16" t="s">
        <v>24</v>
      </c>
      <c r="D114" s="18">
        <v>0</v>
      </c>
      <c r="E114" s="18">
        <v>0</v>
      </c>
      <c r="F114" s="18">
        <v>0</v>
      </c>
      <c r="G114" s="18">
        <v>0</v>
      </c>
      <c r="H114" s="14"/>
      <c r="I114" s="18">
        <v>0</v>
      </c>
      <c r="J114" s="14"/>
      <c r="K114" s="49" t="str">
        <f t="shared" si="2"/>
        <v>-</v>
      </c>
    </row>
    <row r="115" spans="1:11" s="15" customFormat="1" ht="18.75" customHeight="1">
      <c r="A115" s="10" t="s">
        <v>152</v>
      </c>
      <c r="B115" s="17" t="s">
        <v>131</v>
      </c>
      <c r="C115" s="16" t="s">
        <v>24</v>
      </c>
      <c r="D115" s="46">
        <f>ROUND(D116,1)+ROUND(D117,1)+ROUND(D118,1)</f>
        <v>0</v>
      </c>
      <c r="E115" s="46">
        <f>ROUND(E116,1)+ROUND(E117,1)+ROUND(E118,1)</f>
        <v>0</v>
      </c>
      <c r="F115" s="46">
        <f>ROUND(F116,1)+ROUND(F117,1)+ROUND(F118,1)</f>
        <v>0</v>
      </c>
      <c r="G115" s="46">
        <f>ROUND(G116,1)+ROUND(G117,1)+ROUND(G118,1)</f>
        <v>0</v>
      </c>
      <c r="H115" s="14"/>
      <c r="I115" s="46">
        <f>ROUND(I116,1)+ROUND(I117,1)+ROUND(I118,1)</f>
        <v>0</v>
      </c>
      <c r="J115" s="14"/>
      <c r="K115" s="49" t="str">
        <f t="shared" si="2"/>
        <v>-</v>
      </c>
    </row>
    <row r="116" spans="1:11" s="15" customFormat="1" ht="60" customHeight="1">
      <c r="A116" s="10" t="s">
        <v>153</v>
      </c>
      <c r="B116" s="29" t="s">
        <v>132</v>
      </c>
      <c r="C116" s="16" t="s">
        <v>24</v>
      </c>
      <c r="D116" s="18"/>
      <c r="E116" s="18"/>
      <c r="F116" s="18"/>
      <c r="G116" s="18"/>
      <c r="H116" s="14"/>
      <c r="I116" s="18"/>
      <c r="J116" s="14"/>
      <c r="K116" s="49" t="str">
        <f t="shared" si="2"/>
        <v>-</v>
      </c>
    </row>
    <row r="117" spans="1:11" s="15" customFormat="1" ht="32.25" customHeight="1">
      <c r="A117" s="10" t="s">
        <v>154</v>
      </c>
      <c r="B117" s="29" t="s">
        <v>133</v>
      </c>
      <c r="C117" s="16" t="s">
        <v>24</v>
      </c>
      <c r="D117" s="18"/>
      <c r="E117" s="18"/>
      <c r="F117" s="18"/>
      <c r="G117" s="18"/>
      <c r="H117" s="14"/>
      <c r="I117" s="18"/>
      <c r="J117" s="14"/>
      <c r="K117" s="49" t="str">
        <f t="shared" si="2"/>
        <v>-</v>
      </c>
    </row>
    <row r="118" spans="1:11" s="15" customFormat="1" ht="48.75" customHeight="1">
      <c r="A118" s="10" t="s">
        <v>155</v>
      </c>
      <c r="B118" s="29" t="s">
        <v>134</v>
      </c>
      <c r="C118" s="16" t="s">
        <v>24</v>
      </c>
      <c r="D118" s="18"/>
      <c r="E118" s="18"/>
      <c r="F118" s="18"/>
      <c r="G118" s="18"/>
      <c r="H118" s="14"/>
      <c r="I118" s="18"/>
      <c r="J118" s="14"/>
      <c r="K118" s="49" t="str">
        <f t="shared" si="2"/>
        <v>-</v>
      </c>
    </row>
    <row r="119" spans="1:11" s="15" customFormat="1" ht="15" customHeight="1">
      <c r="A119" s="12" t="s">
        <v>156</v>
      </c>
      <c r="B119" s="43" t="str">
        <f>IF(C23="да","Необходимая валовая выручка (без учета НДС)","Необходимая валовая выручка (НДС не облагается)")</f>
        <v>Необходимая валовая выручка (НДС не облагается)</v>
      </c>
      <c r="C119" s="42" t="s">
        <v>24</v>
      </c>
      <c r="D119" s="46">
        <f>ROUND(D24,1)+ROUND(D71,1)+ROUND(D78,1)+ROUND(D98,1)+ROUND(D99,1)+ROUND(D100,1)+ROUND(D101,1)+ROUND(D110,1)+ROUND(D114,1)+ROUND(D115,1)</f>
        <v>0</v>
      </c>
      <c r="E119" s="46">
        <f>ROUND(E24,1)+ROUND(E71,1)+ROUND(E78,1)+ROUND(E98,1)+ROUND(E99,1)+ROUND(E100,1)+ROUND(E101,1)+ROUND(E110,1)+ROUND(E114,1)+ROUND(E115,1)</f>
        <v>0</v>
      </c>
      <c r="F119" s="46">
        <f>ROUND(F24,1)+ROUND(F71,1)+ROUND(F78,1)+ROUND(F98,1)+ROUND(F99,1)+ROUND(F100,1)+ROUND(F101,1)+ROUND(F110,1)+ROUND(F114,1)+ROUND(F115,1)</f>
        <v>0</v>
      </c>
      <c r="G119" s="46">
        <f>ROUND(G24,1)+ROUND(G71,1)+ROUND(G78,1)+ROUND(G98,1)+ROUND(G99,1)+ROUND(G100,1)+ROUND(G101,1)+ROUND(G110,1)+ROUND(G114,1)+ROUND(G115,1)</f>
        <v>30387.500000000004</v>
      </c>
      <c r="H119" s="14" t="s">
        <v>125</v>
      </c>
      <c r="I119" s="46">
        <f>ROUND(I24,1)+ROUND(I71,1)+ROUND(I78,1)+ROUND(I98,1)+ROUND(I99,1)+ROUND(I100,1)+ROUND(I101,1)+ROUND(I110,1)+ROUND(I114,1)+ROUND(I115,1)</f>
        <v>17535.899999999998</v>
      </c>
      <c r="J119" s="14" t="s">
        <v>125</v>
      </c>
      <c r="K119" s="49" t="str">
        <f t="shared" si="2"/>
        <v>-</v>
      </c>
    </row>
    <row r="120" spans="1:11" s="15" customFormat="1" ht="45" customHeight="1">
      <c r="A120" s="12" t="s">
        <v>157</v>
      </c>
      <c r="B120" s="37" t="str">
        <f>IF(C23="да","Тариф (без учета НДС)","Тариф (НДС не облагается)")</f>
        <v>Тариф (НДС не облагается)</v>
      </c>
      <c r="C120" s="28" t="s">
        <v>92</v>
      </c>
      <c r="D120" s="38" t="e">
        <f>ROUND(D119,1)/ROUND(D10,1)*1000</f>
        <v>#DIV/0!</v>
      </c>
      <c r="E120" s="38" t="e">
        <f>ROUND(E119,1)/ROUND(E10,1)*1000</f>
        <v>#DIV/0!</v>
      </c>
      <c r="F120" s="38" t="e">
        <f>ROUND(F119,1)/ROUND(F10,1)*1000</f>
        <v>#DIV/0!</v>
      </c>
      <c r="G120" s="38">
        <f>ROUND(G119,1)/ROUND(G10,1)*1000</f>
        <v>149.32432432432432</v>
      </c>
      <c r="H120" s="14" t="s">
        <v>126</v>
      </c>
      <c r="I120" s="38">
        <f>ROUND(I119,1)/ROUND(I10,1)*1000</f>
        <v>86.17149877149878</v>
      </c>
      <c r="J120" s="14" t="s">
        <v>127</v>
      </c>
      <c r="K120" s="53" t="e">
        <f t="shared" si="2"/>
        <v>#DIV/0!</v>
      </c>
    </row>
    <row r="121" spans="1:11" ht="15" customHeight="1">
      <c r="A121" s="42" t="s">
        <v>158</v>
      </c>
      <c r="B121" s="43" t="s">
        <v>128</v>
      </c>
      <c r="C121" s="42" t="s">
        <v>15</v>
      </c>
      <c r="D121" s="42"/>
      <c r="E121" s="42"/>
      <c r="F121" s="44" t="e">
        <f>F120/D120</f>
        <v>#DIV/0!</v>
      </c>
      <c r="G121" s="42" t="e">
        <f>G120/F120</f>
        <v>#DIV/0!</v>
      </c>
      <c r="H121" s="26"/>
      <c r="I121" s="44" t="e">
        <f>I120/F120</f>
        <v>#DIV/0!</v>
      </c>
      <c r="J121" s="26"/>
      <c r="K121" s="17"/>
    </row>
    <row r="124" ht="15">
      <c r="I124" s="1" t="s">
        <v>459</v>
      </c>
    </row>
    <row r="125" spans="1:11" ht="18.75">
      <c r="A125" s="39" t="s">
        <v>129</v>
      </c>
      <c r="B125" s="39"/>
      <c r="H125" s="244" t="s">
        <v>130</v>
      </c>
      <c r="I125" s="244"/>
      <c r="J125" s="1"/>
      <c r="K125" s="50"/>
    </row>
  </sheetData>
  <sheetProtection formatCells="0" formatColumns="0" formatRows="0" insertColumns="0" insertRows="0" insertHyperlinks="0" deleteColumns="0" deleteRows="0" autoFilter="0"/>
  <mergeCells count="15">
    <mergeCell ref="B22:K22"/>
    <mergeCell ref="H125:I125"/>
    <mergeCell ref="I7:I8"/>
    <mergeCell ref="J7:J8"/>
    <mergeCell ref="K7:K8"/>
    <mergeCell ref="B9:K9"/>
    <mergeCell ref="A3:K3"/>
    <mergeCell ref="A4:K4"/>
    <mergeCell ref="A5:K5"/>
    <mergeCell ref="A7:A8"/>
    <mergeCell ref="B7:B8"/>
    <mergeCell ref="C7:C8"/>
    <mergeCell ref="D7:E7"/>
    <mergeCell ref="G7:G8"/>
    <mergeCell ref="H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PageLayoutView="0" workbookViewId="0" topLeftCell="A82">
      <selection activeCell="H110" sqref="H110:J110"/>
    </sheetView>
  </sheetViews>
  <sheetFormatPr defaultColWidth="9.140625" defaultRowHeight="15"/>
  <cols>
    <col min="1" max="1" width="8.421875" style="54" customWidth="1"/>
    <col min="2" max="2" width="7.57421875" style="54" customWidth="1"/>
    <col min="3" max="3" width="14.421875" style="54" customWidth="1"/>
    <col min="4" max="4" width="8.57421875" style="54" customWidth="1"/>
    <col min="5" max="5" width="9.00390625" style="54" customWidth="1"/>
    <col min="6" max="6" width="7.7109375" style="54" customWidth="1"/>
    <col min="7" max="7" width="7.8515625" style="54" customWidth="1"/>
    <col min="8" max="8" width="8.28125" style="54" customWidth="1"/>
    <col min="9" max="9" width="8.00390625" style="54" customWidth="1"/>
    <col min="10" max="10" width="7.28125" style="54" customWidth="1"/>
    <col min="11" max="12" width="9.7109375" style="54" customWidth="1"/>
    <col min="13" max="13" width="10.00390625" style="192" customWidth="1"/>
    <col min="14" max="14" width="9.140625" style="192" customWidth="1"/>
    <col min="15" max="15" width="30.00390625" style="203" customWidth="1"/>
  </cols>
  <sheetData>
    <row r="2" spans="1:12" ht="15">
      <c r="A2" s="55"/>
      <c r="B2" s="295" t="s">
        <v>194</v>
      </c>
      <c r="C2" s="295"/>
      <c r="D2" s="295"/>
      <c r="E2" s="295"/>
      <c r="F2" s="295"/>
      <c r="G2" s="295"/>
      <c r="H2" s="295"/>
      <c r="I2" s="295"/>
      <c r="J2" s="56"/>
      <c r="K2" s="56"/>
      <c r="L2" s="56"/>
    </row>
    <row r="3" spans="1:12" ht="15">
      <c r="A3" s="275" t="s">
        <v>195</v>
      </c>
      <c r="B3" s="275"/>
      <c r="C3" s="275"/>
      <c r="D3" s="275"/>
      <c r="E3" s="275"/>
      <c r="F3" s="275"/>
      <c r="G3" s="275"/>
      <c r="H3" s="275"/>
      <c r="I3" s="275"/>
      <c r="J3" s="275"/>
      <c r="K3" s="119"/>
      <c r="L3" s="119"/>
    </row>
    <row r="4" spans="1:12" ht="1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4" ht="15">
      <c r="A5" s="76" t="s">
        <v>343</v>
      </c>
      <c r="B5" s="76"/>
      <c r="C5" s="76"/>
      <c r="D5" s="76"/>
      <c r="E5" s="76"/>
      <c r="F5" s="77"/>
      <c r="G5" s="78"/>
      <c r="H5" s="78"/>
      <c r="I5" s="78"/>
      <c r="J5" s="78"/>
      <c r="K5" s="78"/>
      <c r="L5" s="78"/>
      <c r="M5" s="205"/>
      <c r="N5" s="206"/>
    </row>
    <row r="6" spans="1:14" ht="15">
      <c r="A6" s="76"/>
      <c r="B6" s="76"/>
      <c r="C6" s="76"/>
      <c r="D6" s="76"/>
      <c r="E6" s="76"/>
      <c r="F6" s="77"/>
      <c r="G6" s="78"/>
      <c r="H6" s="78"/>
      <c r="I6" s="78"/>
      <c r="J6" s="78"/>
      <c r="K6" s="78"/>
      <c r="L6" s="78"/>
      <c r="M6" s="205"/>
      <c r="N6" s="206"/>
    </row>
    <row r="7" spans="1:14" ht="28.5" customHeight="1">
      <c r="A7" s="76"/>
      <c r="B7" s="76"/>
      <c r="C7" s="76"/>
      <c r="D7" s="76"/>
      <c r="E7" s="76"/>
      <c r="F7" s="77"/>
      <c r="G7" s="78"/>
      <c r="H7" s="78"/>
      <c r="I7" s="78"/>
      <c r="J7" s="78"/>
      <c r="K7" s="78"/>
      <c r="L7" s="78"/>
      <c r="M7" s="290" t="s">
        <v>340</v>
      </c>
      <c r="N7" s="291"/>
    </row>
    <row r="8" spans="1:14" ht="64.5">
      <c r="A8" s="76"/>
      <c r="B8" s="76"/>
      <c r="C8" s="76"/>
      <c r="D8" s="76"/>
      <c r="E8" s="76"/>
      <c r="F8" s="77"/>
      <c r="G8" s="78"/>
      <c r="H8" s="78"/>
      <c r="I8" s="78"/>
      <c r="J8" s="78"/>
      <c r="K8" s="204" t="s">
        <v>344</v>
      </c>
      <c r="L8" s="204" t="s">
        <v>345</v>
      </c>
      <c r="M8" s="151" t="s">
        <v>341</v>
      </c>
      <c r="N8" s="151" t="s">
        <v>342</v>
      </c>
    </row>
    <row r="9" spans="1:12" ht="15">
      <c r="A9" s="207" t="s">
        <v>346</v>
      </c>
      <c r="B9" s="76"/>
      <c r="C9" s="76"/>
      <c r="D9" s="76"/>
      <c r="E9" s="76"/>
      <c r="F9" s="77"/>
      <c r="G9" s="78"/>
      <c r="H9" s="78"/>
      <c r="I9" s="78"/>
      <c r="J9" s="78"/>
      <c r="K9" s="78"/>
      <c r="L9" s="78"/>
    </row>
    <row r="10" spans="1:12" ht="15">
      <c r="A10" s="76" t="s">
        <v>347</v>
      </c>
      <c r="B10" s="76"/>
      <c r="C10" s="76"/>
      <c r="D10" s="76"/>
      <c r="E10" s="76"/>
      <c r="F10" s="77"/>
      <c r="G10" s="78"/>
      <c r="H10" s="78"/>
      <c r="I10" s="78"/>
      <c r="J10" s="78"/>
      <c r="K10" s="78"/>
      <c r="L10" s="78"/>
    </row>
    <row r="11" spans="1:12" ht="15">
      <c r="A11" s="76" t="s">
        <v>348</v>
      </c>
      <c r="B11" s="76"/>
      <c r="C11" s="76"/>
      <c r="D11" s="76"/>
      <c r="E11" s="76"/>
      <c r="F11" s="77"/>
      <c r="G11" s="78"/>
      <c r="H11" s="78"/>
      <c r="I11" s="78"/>
      <c r="J11" s="78"/>
      <c r="K11" s="78"/>
      <c r="L11" s="78"/>
    </row>
    <row r="12" spans="1:12" ht="15">
      <c r="A12" s="58" t="s">
        <v>349</v>
      </c>
      <c r="B12" s="59"/>
      <c r="C12" s="59"/>
      <c r="D12" s="59"/>
      <c r="E12" s="59"/>
      <c r="F12" s="58" t="s">
        <v>196</v>
      </c>
      <c r="G12" s="59"/>
      <c r="H12" s="59"/>
      <c r="I12" s="58" t="s">
        <v>197</v>
      </c>
      <c r="J12" s="60"/>
      <c r="K12" s="84"/>
      <c r="L12" s="84"/>
    </row>
    <row r="13" spans="1:12" ht="15">
      <c r="A13" s="63"/>
      <c r="B13" s="64" t="s">
        <v>201</v>
      </c>
      <c r="C13" s="64"/>
      <c r="D13" s="64"/>
      <c r="E13" s="64"/>
      <c r="F13" s="63"/>
      <c r="G13" s="64"/>
      <c r="H13" s="64"/>
      <c r="I13" s="88" t="s">
        <v>198</v>
      </c>
      <c r="J13" s="89"/>
      <c r="K13" s="76"/>
      <c r="L13" s="76"/>
    </row>
    <row r="14" spans="1:14" ht="23.25" customHeight="1">
      <c r="A14" s="292" t="s">
        <v>350</v>
      </c>
      <c r="B14" s="293"/>
      <c r="C14" s="293"/>
      <c r="D14" s="74">
        <v>10</v>
      </c>
      <c r="E14" s="75" t="s">
        <v>351</v>
      </c>
      <c r="F14" s="208">
        <v>3</v>
      </c>
      <c r="G14" s="70">
        <v>1</v>
      </c>
      <c r="H14" s="209">
        <v>3</v>
      </c>
      <c r="I14" s="210">
        <v>3</v>
      </c>
      <c r="J14" s="211"/>
      <c r="K14" s="120">
        <v>189</v>
      </c>
      <c r="L14" s="212">
        <f>K14/365</f>
        <v>0.5178082191780822</v>
      </c>
      <c r="M14" s="213">
        <f>L14*3/15</f>
        <v>0.10356164383561643</v>
      </c>
      <c r="N14" s="161">
        <v>0.1</v>
      </c>
    </row>
    <row r="15" spans="1:14" ht="15">
      <c r="A15" s="76" t="s">
        <v>352</v>
      </c>
      <c r="B15" s="76"/>
      <c r="C15" s="76"/>
      <c r="D15" s="76" t="s">
        <v>202</v>
      </c>
      <c r="E15" s="76" t="s">
        <v>353</v>
      </c>
      <c r="F15" s="214">
        <v>2</v>
      </c>
      <c r="G15" s="70">
        <f>F15/2</f>
        <v>1</v>
      </c>
      <c r="H15" s="215">
        <v>3</v>
      </c>
      <c r="I15" s="78"/>
      <c r="J15" s="78"/>
      <c r="K15" s="120">
        <v>189</v>
      </c>
      <c r="L15" s="212">
        <f aca="true" t="shared" si="0" ref="L15:L29">K15/365</f>
        <v>0.5178082191780822</v>
      </c>
      <c r="M15" s="213">
        <f>L15*F15/15</f>
        <v>0.06904109589041095</v>
      </c>
      <c r="N15" s="192">
        <v>0.1</v>
      </c>
    </row>
    <row r="16" spans="1:13" ht="15">
      <c r="A16" s="76" t="s">
        <v>354</v>
      </c>
      <c r="B16" s="76"/>
      <c r="C16" s="76"/>
      <c r="D16" s="76" t="s">
        <v>202</v>
      </c>
      <c r="E16" s="76" t="s">
        <v>355</v>
      </c>
      <c r="F16" s="214">
        <v>3</v>
      </c>
      <c r="G16" s="78"/>
      <c r="H16" s="215"/>
      <c r="I16" s="78"/>
      <c r="J16" s="78"/>
      <c r="K16" s="120">
        <v>189</v>
      </c>
      <c r="L16" s="212">
        <f t="shared" si="0"/>
        <v>0.5178082191780822</v>
      </c>
      <c r="M16" s="216">
        <f aca="true" t="shared" si="1" ref="M16:M24">L16*F16/15</f>
        <v>0.10356164383561643</v>
      </c>
    </row>
    <row r="17" spans="1:13" ht="15">
      <c r="A17" s="76" t="s">
        <v>356</v>
      </c>
      <c r="B17" s="76"/>
      <c r="C17" s="76"/>
      <c r="D17" s="76" t="s">
        <v>202</v>
      </c>
      <c r="E17" s="76" t="s">
        <v>357</v>
      </c>
      <c r="F17" s="214">
        <v>5</v>
      </c>
      <c r="G17" s="70">
        <v>1</v>
      </c>
      <c r="H17" s="215">
        <v>5</v>
      </c>
      <c r="I17" s="78"/>
      <c r="J17" s="78"/>
      <c r="K17" s="120">
        <v>189</v>
      </c>
      <c r="L17" s="212">
        <f t="shared" si="0"/>
        <v>0.5178082191780822</v>
      </c>
      <c r="M17" s="216">
        <f t="shared" si="1"/>
        <v>0.1726027397260274</v>
      </c>
    </row>
    <row r="18" spans="1:15" ht="15">
      <c r="A18" s="76" t="s">
        <v>358</v>
      </c>
      <c r="B18" s="76"/>
      <c r="C18" s="76"/>
      <c r="D18" s="76" t="s">
        <v>202</v>
      </c>
      <c r="E18" s="76" t="s">
        <v>359</v>
      </c>
      <c r="F18" s="214">
        <v>3</v>
      </c>
      <c r="G18" s="70">
        <v>1</v>
      </c>
      <c r="H18" s="215">
        <v>3</v>
      </c>
      <c r="I18" s="78"/>
      <c r="J18" s="78"/>
      <c r="K18" s="120">
        <v>189</v>
      </c>
      <c r="L18" s="212">
        <f t="shared" si="0"/>
        <v>0.5178082191780822</v>
      </c>
      <c r="M18" s="213">
        <f t="shared" si="1"/>
        <v>0.10356164383561643</v>
      </c>
      <c r="N18" s="192">
        <v>0.1</v>
      </c>
      <c r="O18" s="192" t="s">
        <v>360</v>
      </c>
    </row>
    <row r="19" spans="1:13" ht="15">
      <c r="A19" s="76" t="s">
        <v>361</v>
      </c>
      <c r="B19" s="76"/>
      <c r="C19" s="76"/>
      <c r="D19" s="76" t="s">
        <v>202</v>
      </c>
      <c r="E19" s="76" t="s">
        <v>362</v>
      </c>
      <c r="F19" s="214">
        <v>3</v>
      </c>
      <c r="G19" s="70">
        <v>1</v>
      </c>
      <c r="H19" s="215">
        <v>3</v>
      </c>
      <c r="I19" s="78"/>
      <c r="J19" s="78"/>
      <c r="K19" s="120">
        <v>189</v>
      </c>
      <c r="L19" s="212">
        <f t="shared" si="0"/>
        <v>0.5178082191780822</v>
      </c>
      <c r="M19" s="216">
        <f t="shared" si="1"/>
        <v>0.10356164383561643</v>
      </c>
    </row>
    <row r="20" spans="1:14" ht="15">
      <c r="A20" s="76" t="s">
        <v>363</v>
      </c>
      <c r="B20" s="76"/>
      <c r="C20" s="76"/>
      <c r="D20" s="76" t="s">
        <v>202</v>
      </c>
      <c r="E20" s="76" t="s">
        <v>364</v>
      </c>
      <c r="F20" s="214">
        <v>2</v>
      </c>
      <c r="G20" s="70">
        <f>F20/2</f>
        <v>1</v>
      </c>
      <c r="H20" s="215">
        <v>2</v>
      </c>
      <c r="I20" s="78"/>
      <c r="J20" s="78"/>
      <c r="K20" s="120">
        <v>189</v>
      </c>
      <c r="L20" s="212">
        <f t="shared" si="0"/>
        <v>0.5178082191780822</v>
      </c>
      <c r="M20" s="213">
        <f t="shared" si="1"/>
        <v>0.06904109589041095</v>
      </c>
      <c r="N20" s="192">
        <v>0.1</v>
      </c>
    </row>
    <row r="21" spans="1:14" ht="15">
      <c r="A21" s="76" t="s">
        <v>365</v>
      </c>
      <c r="B21" s="76"/>
      <c r="C21" s="76"/>
      <c r="D21" s="76" t="s">
        <v>202</v>
      </c>
      <c r="E21" s="76" t="s">
        <v>366</v>
      </c>
      <c r="F21" s="214">
        <v>8</v>
      </c>
      <c r="G21" s="78">
        <v>6</v>
      </c>
      <c r="H21" s="215">
        <v>8</v>
      </c>
      <c r="I21" s="78"/>
      <c r="J21" s="78"/>
      <c r="K21" s="120">
        <v>189</v>
      </c>
      <c r="L21" s="212">
        <f>K21/365</f>
        <v>0.5178082191780822</v>
      </c>
      <c r="M21" s="213">
        <f>L21*F21/15</f>
        <v>0.2761643835616438</v>
      </c>
      <c r="N21" s="192">
        <v>0.3</v>
      </c>
    </row>
    <row r="22" spans="1:14" ht="15">
      <c r="A22" s="76" t="s">
        <v>367</v>
      </c>
      <c r="B22" s="76"/>
      <c r="C22" s="76"/>
      <c r="D22" s="76" t="s">
        <v>202</v>
      </c>
      <c r="E22" s="76" t="s">
        <v>368</v>
      </c>
      <c r="F22" s="214">
        <v>2</v>
      </c>
      <c r="G22" s="78"/>
      <c r="H22" s="215">
        <f>SUM(H14:H21)</f>
        <v>27</v>
      </c>
      <c r="I22" s="78"/>
      <c r="J22" s="78"/>
      <c r="K22" s="120">
        <v>189</v>
      </c>
      <c r="L22" s="212">
        <f t="shared" si="0"/>
        <v>0.5178082191780822</v>
      </c>
      <c r="M22" s="216">
        <f t="shared" si="1"/>
        <v>0.06904109589041095</v>
      </c>
      <c r="N22" s="192">
        <v>6</v>
      </c>
    </row>
    <row r="23" spans="1:14" ht="15">
      <c r="A23" s="76" t="s">
        <v>369</v>
      </c>
      <c r="B23" s="76"/>
      <c r="C23" s="76"/>
      <c r="D23" s="76" t="s">
        <v>202</v>
      </c>
      <c r="E23" s="76" t="s">
        <v>370</v>
      </c>
      <c r="F23" s="214">
        <v>3</v>
      </c>
      <c r="G23" s="70"/>
      <c r="H23" s="215"/>
      <c r="I23" s="78"/>
      <c r="J23" s="78"/>
      <c r="K23" s="120">
        <v>189</v>
      </c>
      <c r="L23" s="212">
        <f t="shared" si="0"/>
        <v>0.5178082191780822</v>
      </c>
      <c r="M23" s="213">
        <f t="shared" si="1"/>
        <v>0.10356164383561643</v>
      </c>
      <c r="N23" s="192">
        <v>0.1</v>
      </c>
    </row>
    <row r="24" spans="1:13" ht="15">
      <c r="A24" s="76" t="s">
        <v>371</v>
      </c>
      <c r="B24" s="76"/>
      <c r="C24" s="76"/>
      <c r="D24" s="76" t="s">
        <v>202</v>
      </c>
      <c r="E24" s="76" t="s">
        <v>372</v>
      </c>
      <c r="F24" s="214">
        <v>3</v>
      </c>
      <c r="G24" s="78"/>
      <c r="H24" s="215"/>
      <c r="I24" s="78"/>
      <c r="J24" s="78"/>
      <c r="K24" s="120">
        <v>189</v>
      </c>
      <c r="L24" s="212">
        <f t="shared" si="0"/>
        <v>0.5178082191780822</v>
      </c>
      <c r="M24" s="216">
        <f t="shared" si="1"/>
        <v>0.10356164383561643</v>
      </c>
    </row>
    <row r="25" spans="1:13" ht="24.75" customHeight="1">
      <c r="A25" s="294" t="s">
        <v>373</v>
      </c>
      <c r="B25" s="294"/>
      <c r="C25" s="294"/>
      <c r="D25" s="217" t="s">
        <v>374</v>
      </c>
      <c r="E25" s="76" t="s">
        <v>375</v>
      </c>
      <c r="F25" s="214">
        <v>4</v>
      </c>
      <c r="G25" s="78"/>
      <c r="H25" s="215"/>
      <c r="I25" s="78"/>
      <c r="J25" s="78"/>
      <c r="K25" s="120">
        <v>189</v>
      </c>
      <c r="L25" s="212">
        <f t="shared" si="0"/>
        <v>0.5178082191780822</v>
      </c>
      <c r="M25" s="216"/>
    </row>
    <row r="26" spans="1:13" ht="24.75" customHeight="1">
      <c r="A26" s="294" t="s">
        <v>376</v>
      </c>
      <c r="B26" s="294"/>
      <c r="C26" s="294"/>
      <c r="D26" s="217" t="s">
        <v>374</v>
      </c>
      <c r="E26" s="76" t="s">
        <v>377</v>
      </c>
      <c r="F26" s="214">
        <v>4</v>
      </c>
      <c r="G26" s="78"/>
      <c r="H26" s="215"/>
      <c r="I26" s="78"/>
      <c r="J26" s="78"/>
      <c r="K26" s="120">
        <v>189</v>
      </c>
      <c r="L26" s="212">
        <f t="shared" si="0"/>
        <v>0.5178082191780822</v>
      </c>
      <c r="M26" s="216"/>
    </row>
    <row r="27" spans="1:15" ht="15">
      <c r="A27" s="76" t="s">
        <v>378</v>
      </c>
      <c r="B27" s="76"/>
      <c r="C27" s="76"/>
      <c r="D27" s="76" t="s">
        <v>379</v>
      </c>
      <c r="E27" s="76" t="s">
        <v>380</v>
      </c>
      <c r="F27" s="214">
        <v>3</v>
      </c>
      <c r="G27" s="78"/>
      <c r="H27" s="215"/>
      <c r="I27" s="78"/>
      <c r="J27" s="78"/>
      <c r="K27" s="120">
        <v>189</v>
      </c>
      <c r="L27" s="212">
        <f t="shared" si="0"/>
        <v>0.5178082191780822</v>
      </c>
      <c r="M27" s="213">
        <f>L27*F27/5</f>
        <v>0.3106849315068493</v>
      </c>
      <c r="N27" s="192">
        <v>0.3</v>
      </c>
      <c r="O27" s="192" t="s">
        <v>381</v>
      </c>
    </row>
    <row r="28" spans="1:14" ht="15">
      <c r="A28" s="76" t="s">
        <v>382</v>
      </c>
      <c r="B28" s="76"/>
      <c r="C28" s="76"/>
      <c r="D28" s="76" t="s">
        <v>202</v>
      </c>
      <c r="E28" s="76" t="s">
        <v>383</v>
      </c>
      <c r="F28" s="214">
        <v>3</v>
      </c>
      <c r="G28" s="78"/>
      <c r="H28" s="215"/>
      <c r="I28" s="78"/>
      <c r="J28" s="78"/>
      <c r="K28" s="120">
        <v>189</v>
      </c>
      <c r="L28" s="212">
        <f t="shared" si="0"/>
        <v>0.5178082191780822</v>
      </c>
      <c r="M28" s="213">
        <f>L28*F28/15</f>
        <v>0.10356164383561643</v>
      </c>
      <c r="N28" s="192">
        <v>0.1</v>
      </c>
    </row>
    <row r="29" spans="1:14" ht="15">
      <c r="A29" s="76" t="s">
        <v>384</v>
      </c>
      <c r="B29" s="76"/>
      <c r="C29" s="76"/>
      <c r="D29" s="76" t="s">
        <v>199</v>
      </c>
      <c r="E29" s="76" t="s">
        <v>385</v>
      </c>
      <c r="F29" s="214">
        <v>1</v>
      </c>
      <c r="G29" s="78"/>
      <c r="H29" s="215">
        <v>1</v>
      </c>
      <c r="I29" s="78"/>
      <c r="J29" s="78"/>
      <c r="K29" s="120">
        <v>189</v>
      </c>
      <c r="L29" s="212">
        <f t="shared" si="0"/>
        <v>0.5178082191780822</v>
      </c>
      <c r="M29" s="218">
        <f>L29*F29/100</f>
        <v>0.005178082191780822</v>
      </c>
      <c r="N29" s="192">
        <v>0.01</v>
      </c>
    </row>
    <row r="30" spans="1:13" ht="15">
      <c r="A30" s="76"/>
      <c r="B30" s="76"/>
      <c r="C30" s="76"/>
      <c r="D30" s="76"/>
      <c r="E30" s="76"/>
      <c r="F30" s="214"/>
      <c r="G30" s="219">
        <f>SUM(G14:G29)</f>
        <v>12</v>
      </c>
      <c r="H30" s="78">
        <f>H22+H29</f>
        <v>28</v>
      </c>
      <c r="I30" s="78"/>
      <c r="J30" s="78"/>
      <c r="K30" s="80"/>
      <c r="L30" s="87"/>
      <c r="M30" s="218"/>
    </row>
    <row r="31" spans="1:14" ht="15">
      <c r="A31" s="76"/>
      <c r="B31" s="76"/>
      <c r="C31" s="76"/>
      <c r="D31" s="76"/>
      <c r="E31" s="76"/>
      <c r="F31" s="77"/>
      <c r="G31" s="78"/>
      <c r="H31" s="220">
        <f>H30/2</f>
        <v>14</v>
      </c>
      <c r="I31" s="220">
        <v>14.5</v>
      </c>
      <c r="J31" s="78"/>
      <c r="K31" s="78"/>
      <c r="L31" s="78"/>
      <c r="M31" s="216">
        <f>SUM(M14:M29)</f>
        <v>1.6966849315068488</v>
      </c>
      <c r="N31" s="192">
        <f>SUM(N14:N29)</f>
        <v>7.209999999999999</v>
      </c>
    </row>
    <row r="32" spans="1:12" ht="15">
      <c r="A32" s="71" t="s">
        <v>386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1:12" ht="15">
      <c r="A33" s="281" t="s">
        <v>200</v>
      </c>
      <c r="B33" s="282"/>
      <c r="C33" s="282"/>
      <c r="D33" s="282"/>
      <c r="E33" s="282"/>
      <c r="F33" s="282"/>
      <c r="G33" s="282"/>
      <c r="H33" s="282"/>
      <c r="I33" s="282"/>
      <c r="J33" s="282"/>
      <c r="K33" s="72"/>
      <c r="L33" s="72"/>
    </row>
    <row r="34" spans="1:12" ht="15">
      <c r="A34" s="55" t="s">
        <v>387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1:12" ht="1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1:12" ht="15">
      <c r="A37" s="55" t="s">
        <v>388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spans="1:14" ht="15">
      <c r="A38" s="55" t="s">
        <v>389</v>
      </c>
      <c r="B38" s="55"/>
      <c r="C38" s="55"/>
      <c r="D38" s="55" t="s">
        <v>206</v>
      </c>
      <c r="E38" s="55" t="s">
        <v>390</v>
      </c>
      <c r="F38" s="55">
        <f>1/2</f>
        <v>0.5</v>
      </c>
      <c r="G38" s="55"/>
      <c r="H38" s="55"/>
      <c r="I38" s="55"/>
      <c r="J38" s="55"/>
      <c r="K38" s="120">
        <v>189</v>
      </c>
      <c r="L38" s="212">
        <f>K38/365</f>
        <v>0.5178082191780822</v>
      </c>
      <c r="M38" s="218">
        <f>L38*F38/50</f>
        <v>0.005178082191780822</v>
      </c>
      <c r="N38" s="192">
        <v>1</v>
      </c>
    </row>
    <row r="39" spans="1:14" ht="15">
      <c r="A39" s="55" t="s">
        <v>391</v>
      </c>
      <c r="B39" s="55"/>
      <c r="C39" s="55"/>
      <c r="D39" s="55" t="s">
        <v>206</v>
      </c>
      <c r="E39" s="55" t="s">
        <v>390</v>
      </c>
      <c r="F39" s="55">
        <v>2</v>
      </c>
      <c r="G39" s="55"/>
      <c r="H39" s="55"/>
      <c r="I39" s="55"/>
      <c r="J39" s="55"/>
      <c r="K39" s="120">
        <v>189</v>
      </c>
      <c r="L39" s="212">
        <f>K39/365</f>
        <v>0.5178082191780822</v>
      </c>
      <c r="M39" s="218">
        <f>L39*F39/50</f>
        <v>0.020712328767123287</v>
      </c>
      <c r="N39" s="192">
        <v>1</v>
      </c>
    </row>
    <row r="40" spans="1:12" ht="15">
      <c r="A40" s="55"/>
      <c r="B40" s="55"/>
      <c r="C40" s="55"/>
      <c r="D40" s="55"/>
      <c r="E40" s="55"/>
      <c r="F40" s="221">
        <f>SUM(F38:F39)</f>
        <v>2.5</v>
      </c>
      <c r="G40" s="55"/>
      <c r="H40" s="55"/>
      <c r="I40" s="55"/>
      <c r="J40" s="55"/>
      <c r="K40" s="55"/>
      <c r="L40" s="55"/>
    </row>
    <row r="41" spans="1:12" ht="1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1:12" ht="1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</row>
    <row r="43" spans="1:12" ht="15">
      <c r="A43" s="55"/>
      <c r="B43" s="55"/>
      <c r="C43" s="55"/>
      <c r="D43" s="55"/>
      <c r="E43" s="55"/>
      <c r="F43" s="55">
        <f>G30+F40</f>
        <v>14.5</v>
      </c>
      <c r="G43" s="55"/>
      <c r="H43" s="55"/>
      <c r="I43" s="55"/>
      <c r="J43" s="55"/>
      <c r="K43" s="55"/>
      <c r="L43" s="55"/>
    </row>
    <row r="44" spans="1:12" ht="1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</row>
    <row r="45" spans="1:12" ht="1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</row>
    <row r="46" spans="1:12" ht="15">
      <c r="A46" s="76" t="s">
        <v>392</v>
      </c>
      <c r="B46" s="76"/>
      <c r="C46" s="76"/>
      <c r="D46" s="76"/>
      <c r="E46" s="76"/>
      <c r="F46" s="77"/>
      <c r="G46" s="78"/>
      <c r="I46" s="82">
        <f>I14</f>
        <v>3</v>
      </c>
      <c r="J46" s="78"/>
      <c r="K46" s="80">
        <f>F43</f>
        <v>14.5</v>
      </c>
      <c r="L46" s="78"/>
    </row>
    <row r="47" spans="1:12" ht="15">
      <c r="A47" s="76"/>
      <c r="B47" s="76"/>
      <c r="C47" s="76"/>
      <c r="D47" s="76"/>
      <c r="E47" s="76"/>
      <c r="F47" s="77"/>
      <c r="G47" s="78"/>
      <c r="H47" s="78"/>
      <c r="I47" s="78"/>
      <c r="J47" s="78"/>
      <c r="K47" s="78"/>
      <c r="L47" s="78"/>
    </row>
    <row r="48" spans="1:12" ht="15">
      <c r="A48" s="283" t="s">
        <v>203</v>
      </c>
      <c r="B48" s="283"/>
      <c r="C48" s="283"/>
      <c r="D48" s="283"/>
      <c r="E48" s="283"/>
      <c r="F48" s="283"/>
      <c r="G48" s="283"/>
      <c r="H48" s="283"/>
      <c r="I48" s="283"/>
      <c r="J48" s="283"/>
      <c r="K48" s="121"/>
      <c r="L48" s="121"/>
    </row>
    <row r="49" spans="1:12" ht="15">
      <c r="A49" s="284" t="s">
        <v>393</v>
      </c>
      <c r="B49" s="284"/>
      <c r="C49" s="284"/>
      <c r="D49" s="284"/>
      <c r="E49" s="284"/>
      <c r="F49" s="284"/>
      <c r="G49" s="284"/>
      <c r="H49" s="284"/>
      <c r="I49" s="284"/>
      <c r="J49" s="284"/>
      <c r="K49" s="72"/>
      <c r="L49" s="72"/>
    </row>
    <row r="50" spans="1:12" ht="15">
      <c r="A50" s="58" t="s">
        <v>204</v>
      </c>
      <c r="B50" s="59"/>
      <c r="C50" s="59"/>
      <c r="D50" s="59"/>
      <c r="E50" s="60"/>
      <c r="F50" s="58" t="s">
        <v>196</v>
      </c>
      <c r="G50" s="59"/>
      <c r="H50" s="59"/>
      <c r="I50" s="58" t="s">
        <v>197</v>
      </c>
      <c r="J50" s="60"/>
      <c r="K50" s="84"/>
      <c r="L50" s="84"/>
    </row>
    <row r="51" spans="1:12" ht="15">
      <c r="A51" s="63" t="s">
        <v>205</v>
      </c>
      <c r="B51" s="64"/>
      <c r="C51" s="64"/>
      <c r="D51" s="64"/>
      <c r="E51" s="65"/>
      <c r="F51" s="63"/>
      <c r="G51" s="64"/>
      <c r="H51" s="64"/>
      <c r="I51" s="88" t="s">
        <v>198</v>
      </c>
      <c r="J51" s="89"/>
      <c r="K51" s="76"/>
      <c r="L51" s="76"/>
    </row>
    <row r="52" spans="1:12" ht="15">
      <c r="A52" s="73" t="s">
        <v>206</v>
      </c>
      <c r="B52" s="74"/>
      <c r="C52" s="74"/>
      <c r="D52" s="222">
        <f>I46</f>
        <v>3</v>
      </c>
      <c r="E52" s="75"/>
      <c r="F52" s="285" t="s">
        <v>207</v>
      </c>
      <c r="G52" s="286"/>
      <c r="H52" s="287"/>
      <c r="I52" s="288">
        <f>D52/50*2</f>
        <v>0.12</v>
      </c>
      <c r="J52" s="289"/>
      <c r="K52" s="80"/>
      <c r="L52" s="80"/>
    </row>
    <row r="53" spans="1:12" ht="15">
      <c r="A53" s="84"/>
      <c r="B53" s="84"/>
      <c r="C53" s="84"/>
      <c r="D53" s="84"/>
      <c r="E53" s="84"/>
      <c r="F53" s="78"/>
      <c r="G53" s="78"/>
      <c r="H53" s="78"/>
      <c r="I53" s="78"/>
      <c r="J53" s="78"/>
      <c r="K53" s="78"/>
      <c r="L53" s="78"/>
    </row>
    <row r="54" spans="1:12" ht="15">
      <c r="A54" s="84"/>
      <c r="B54" s="84"/>
      <c r="C54" s="84"/>
      <c r="D54" s="223"/>
      <c r="E54" s="84"/>
      <c r="F54" s="78"/>
      <c r="G54" s="78"/>
      <c r="H54" s="78"/>
      <c r="I54" s="78"/>
      <c r="J54" s="78"/>
      <c r="K54" s="78"/>
      <c r="L54" s="78"/>
    </row>
    <row r="55" spans="1:12" ht="15">
      <c r="A55" s="76" t="s">
        <v>394</v>
      </c>
      <c r="B55" s="76"/>
      <c r="C55" s="76"/>
      <c r="D55" s="85"/>
      <c r="E55" s="76"/>
      <c r="F55" s="77"/>
      <c r="G55" s="78"/>
      <c r="H55" s="78"/>
      <c r="I55" s="87"/>
      <c r="J55" s="87"/>
      <c r="K55" s="87"/>
      <c r="L55" s="87"/>
    </row>
    <row r="56" spans="1:12" ht="15">
      <c r="A56" s="76"/>
      <c r="B56" s="76"/>
      <c r="C56" s="76"/>
      <c r="D56" s="85"/>
      <c r="E56" s="76"/>
      <c r="F56" s="77"/>
      <c r="G56" s="78"/>
      <c r="H56" s="78"/>
      <c r="I56" s="87"/>
      <c r="J56" s="87"/>
      <c r="K56" s="87"/>
      <c r="L56" s="87"/>
    </row>
    <row r="57" spans="1:12" ht="15">
      <c r="A57" s="275" t="s">
        <v>208</v>
      </c>
      <c r="B57" s="275"/>
      <c r="C57" s="275"/>
      <c r="D57" s="275"/>
      <c r="E57" s="275"/>
      <c r="F57" s="275"/>
      <c r="G57" s="275"/>
      <c r="H57" s="275"/>
      <c r="I57" s="275"/>
      <c r="J57" s="275"/>
      <c r="K57" s="119"/>
      <c r="L57" s="119"/>
    </row>
    <row r="58" spans="1:12" ht="15">
      <c r="A58" s="276" t="s">
        <v>395</v>
      </c>
      <c r="B58" s="276"/>
      <c r="C58" s="276"/>
      <c r="D58" s="276"/>
      <c r="E58" s="276"/>
      <c r="F58" s="276"/>
      <c r="G58" s="276"/>
      <c r="H58" s="276"/>
      <c r="I58" s="276"/>
      <c r="J58" s="276"/>
      <c r="K58" s="122"/>
      <c r="L58" s="122"/>
    </row>
    <row r="59" spans="1:12" ht="15">
      <c r="A59" s="55" t="s">
        <v>209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</row>
    <row r="60" spans="1:12" ht="15">
      <c r="A60" s="58" t="s">
        <v>210</v>
      </c>
      <c r="B60" s="59"/>
      <c r="C60" s="60"/>
      <c r="D60" s="277" t="s">
        <v>211</v>
      </c>
      <c r="E60" s="260"/>
      <c r="F60" s="260"/>
      <c r="G60" s="261"/>
      <c r="H60" s="277" t="s">
        <v>212</v>
      </c>
      <c r="I60" s="260"/>
      <c r="J60" s="261"/>
      <c r="K60" s="78"/>
      <c r="L60" s="78"/>
    </row>
    <row r="61" spans="1:12" ht="15">
      <c r="A61" s="63" t="s">
        <v>213</v>
      </c>
      <c r="B61" s="64"/>
      <c r="C61" s="65"/>
      <c r="D61" s="278" t="s">
        <v>214</v>
      </c>
      <c r="E61" s="279"/>
      <c r="F61" s="279"/>
      <c r="G61" s="280"/>
      <c r="H61" s="278" t="s">
        <v>215</v>
      </c>
      <c r="I61" s="279"/>
      <c r="J61" s="280"/>
      <c r="K61" s="78"/>
      <c r="L61" s="78"/>
    </row>
    <row r="62" spans="1:12" ht="15">
      <c r="A62" s="260"/>
      <c r="B62" s="260"/>
      <c r="C62" s="261"/>
      <c r="D62" s="70" t="s">
        <v>216</v>
      </c>
      <c r="E62" s="262">
        <v>14.5</v>
      </c>
      <c r="F62" s="263"/>
      <c r="G62" s="264"/>
      <c r="H62" s="271"/>
      <c r="I62" s="272"/>
      <c r="J62" s="273"/>
      <c r="K62" s="78"/>
      <c r="L62" s="78"/>
    </row>
    <row r="63" spans="1:12" ht="15">
      <c r="A63" s="90" t="s">
        <v>217</v>
      </c>
      <c r="B63" s="69"/>
      <c r="C63" s="91"/>
      <c r="D63" s="81">
        <v>2</v>
      </c>
      <c r="E63" s="265"/>
      <c r="F63" s="266"/>
      <c r="G63" s="267"/>
      <c r="H63" s="245">
        <f>E62*2/100</f>
        <v>0.29</v>
      </c>
      <c r="I63" s="246"/>
      <c r="J63" s="247"/>
      <c r="K63" s="123"/>
      <c r="L63" s="123"/>
    </row>
    <row r="64" spans="1:12" ht="15">
      <c r="A64" s="58" t="s">
        <v>218</v>
      </c>
      <c r="B64" s="59"/>
      <c r="C64" s="60"/>
      <c r="D64" s="79"/>
      <c r="E64" s="265"/>
      <c r="F64" s="266"/>
      <c r="G64" s="267"/>
      <c r="H64" s="274">
        <f>E62*5/100</f>
        <v>0.725</v>
      </c>
      <c r="I64" s="274"/>
      <c r="J64" s="274"/>
      <c r="K64" s="123"/>
      <c r="L64" s="123"/>
    </row>
    <row r="65" spans="1:12" ht="15">
      <c r="A65" s="63" t="s">
        <v>219</v>
      </c>
      <c r="B65" s="64"/>
      <c r="C65" s="65"/>
      <c r="D65" s="83" t="s">
        <v>220</v>
      </c>
      <c r="E65" s="265"/>
      <c r="F65" s="266"/>
      <c r="G65" s="267"/>
      <c r="H65" s="274"/>
      <c r="I65" s="274"/>
      <c r="J65" s="274"/>
      <c r="K65" s="123"/>
      <c r="L65" s="123"/>
    </row>
    <row r="66" spans="1:12" ht="15">
      <c r="A66" s="92" t="s">
        <v>221</v>
      </c>
      <c r="B66" s="59"/>
      <c r="C66" s="60"/>
      <c r="D66" s="79"/>
      <c r="E66" s="265"/>
      <c r="F66" s="266"/>
      <c r="G66" s="267"/>
      <c r="H66" s="274">
        <f>E62*1/100</f>
        <v>0.145</v>
      </c>
      <c r="I66" s="274"/>
      <c r="J66" s="274"/>
      <c r="K66" s="123"/>
      <c r="L66" s="123"/>
    </row>
    <row r="67" spans="1:12" ht="15">
      <c r="A67" s="93" t="s">
        <v>222</v>
      </c>
      <c r="B67" s="64"/>
      <c r="C67" s="65"/>
      <c r="D67" s="83">
        <v>1</v>
      </c>
      <c r="E67" s="265"/>
      <c r="F67" s="266"/>
      <c r="G67" s="267"/>
      <c r="H67" s="274"/>
      <c r="I67" s="274"/>
      <c r="J67" s="274"/>
      <c r="K67" s="123"/>
      <c r="L67" s="123"/>
    </row>
    <row r="68" spans="1:12" ht="15">
      <c r="A68" s="92" t="s">
        <v>223</v>
      </c>
      <c r="B68" s="59"/>
      <c r="C68" s="60"/>
      <c r="D68" s="79"/>
      <c r="E68" s="265"/>
      <c r="F68" s="266"/>
      <c r="G68" s="267"/>
      <c r="H68" s="274">
        <f>E62*1/100</f>
        <v>0.145</v>
      </c>
      <c r="I68" s="274"/>
      <c r="J68" s="274"/>
      <c r="K68" s="123"/>
      <c r="L68" s="123"/>
    </row>
    <row r="69" spans="1:12" ht="15">
      <c r="A69" s="94" t="s">
        <v>224</v>
      </c>
      <c r="B69" s="84"/>
      <c r="C69" s="95"/>
      <c r="D69" s="83">
        <v>1</v>
      </c>
      <c r="E69" s="265"/>
      <c r="F69" s="266"/>
      <c r="G69" s="267"/>
      <c r="H69" s="274"/>
      <c r="I69" s="274"/>
      <c r="J69" s="274"/>
      <c r="K69" s="123"/>
      <c r="L69" s="123"/>
    </row>
    <row r="70" spans="1:12" ht="15">
      <c r="A70" s="92" t="s">
        <v>225</v>
      </c>
      <c r="B70" s="59"/>
      <c r="C70" s="60"/>
      <c r="D70" s="62"/>
      <c r="E70" s="265"/>
      <c r="F70" s="266"/>
      <c r="G70" s="267"/>
      <c r="H70" s="274">
        <f>E62*1/100</f>
        <v>0.145</v>
      </c>
      <c r="I70" s="274"/>
      <c r="J70" s="274"/>
      <c r="K70" s="123"/>
      <c r="L70" s="123"/>
    </row>
    <row r="71" spans="1:12" ht="15">
      <c r="A71" s="93" t="s">
        <v>226</v>
      </c>
      <c r="B71" s="64"/>
      <c r="C71" s="65"/>
      <c r="D71" s="67">
        <v>1</v>
      </c>
      <c r="E71" s="265"/>
      <c r="F71" s="266"/>
      <c r="G71" s="267"/>
      <c r="H71" s="274"/>
      <c r="I71" s="274"/>
      <c r="J71" s="274"/>
      <c r="K71" s="123"/>
      <c r="L71" s="123"/>
    </row>
    <row r="72" spans="1:12" ht="15">
      <c r="A72" s="92" t="s">
        <v>227</v>
      </c>
      <c r="B72" s="59"/>
      <c r="C72" s="60"/>
      <c r="D72" s="96"/>
      <c r="E72" s="265"/>
      <c r="F72" s="266"/>
      <c r="G72" s="267"/>
      <c r="H72" s="248">
        <f>E62*4/100</f>
        <v>0.58</v>
      </c>
      <c r="I72" s="249"/>
      <c r="J72" s="250"/>
      <c r="K72" s="123"/>
      <c r="L72" s="123"/>
    </row>
    <row r="73" spans="1:12" ht="15">
      <c r="A73" s="94" t="s">
        <v>228</v>
      </c>
      <c r="B73" s="84"/>
      <c r="C73" s="95"/>
      <c r="D73" s="97"/>
      <c r="E73" s="265"/>
      <c r="F73" s="266"/>
      <c r="G73" s="267"/>
      <c r="H73" s="251"/>
      <c r="I73" s="252"/>
      <c r="J73" s="253"/>
      <c r="K73" s="123"/>
      <c r="L73" s="123"/>
    </row>
    <row r="74" spans="1:12" ht="15">
      <c r="A74" s="93" t="s">
        <v>229</v>
      </c>
      <c r="B74" s="64"/>
      <c r="C74" s="65"/>
      <c r="D74" s="98">
        <v>4</v>
      </c>
      <c r="E74" s="265"/>
      <c r="F74" s="266"/>
      <c r="G74" s="267"/>
      <c r="H74" s="254"/>
      <c r="I74" s="255"/>
      <c r="J74" s="256"/>
      <c r="K74" s="123"/>
      <c r="L74" s="123"/>
    </row>
    <row r="75" spans="1:12" ht="15">
      <c r="A75" s="68" t="s">
        <v>230</v>
      </c>
      <c r="B75" s="69"/>
      <c r="C75" s="91"/>
      <c r="D75" s="70">
        <v>1</v>
      </c>
      <c r="E75" s="265"/>
      <c r="F75" s="266"/>
      <c r="G75" s="267"/>
      <c r="H75" s="245">
        <f>E62*1/100</f>
        <v>0.145</v>
      </c>
      <c r="I75" s="246"/>
      <c r="J75" s="247"/>
      <c r="K75" s="123"/>
      <c r="L75" s="123"/>
    </row>
    <row r="76" spans="1:12" ht="15">
      <c r="A76" s="68" t="s">
        <v>231</v>
      </c>
      <c r="B76" s="69"/>
      <c r="C76" s="91"/>
      <c r="D76" s="70">
        <v>1</v>
      </c>
      <c r="E76" s="265"/>
      <c r="F76" s="266"/>
      <c r="G76" s="267"/>
      <c r="H76" s="245">
        <f>E62*1/100</f>
        <v>0.145</v>
      </c>
      <c r="I76" s="246"/>
      <c r="J76" s="247"/>
      <c r="K76" s="123"/>
      <c r="L76" s="123"/>
    </row>
    <row r="77" spans="1:12" ht="15">
      <c r="A77" s="68" t="s">
        <v>232</v>
      </c>
      <c r="B77" s="69"/>
      <c r="C77" s="91"/>
      <c r="D77" s="99">
        <v>1</v>
      </c>
      <c r="E77" s="265"/>
      <c r="F77" s="266"/>
      <c r="G77" s="267"/>
      <c r="H77" s="245">
        <f>E62*1/100</f>
        <v>0.145</v>
      </c>
      <c r="I77" s="246"/>
      <c r="J77" s="247"/>
      <c r="K77" s="123"/>
      <c r="L77" s="123"/>
    </row>
    <row r="78" spans="1:12" ht="15">
      <c r="A78" s="92" t="s">
        <v>233</v>
      </c>
      <c r="B78" s="59"/>
      <c r="C78" s="60"/>
      <c r="D78" s="61"/>
      <c r="E78" s="265"/>
      <c r="F78" s="266"/>
      <c r="G78" s="267"/>
      <c r="H78" s="248">
        <f>E62*2/100</f>
        <v>0.29</v>
      </c>
      <c r="I78" s="249"/>
      <c r="J78" s="250"/>
      <c r="K78" s="123"/>
      <c r="L78" s="123"/>
    </row>
    <row r="79" spans="1:12" ht="15">
      <c r="A79" s="94" t="s">
        <v>234</v>
      </c>
      <c r="B79" s="84"/>
      <c r="C79" s="95"/>
      <c r="D79" s="100">
        <v>2</v>
      </c>
      <c r="E79" s="265"/>
      <c r="F79" s="266"/>
      <c r="G79" s="267"/>
      <c r="H79" s="251"/>
      <c r="I79" s="252"/>
      <c r="J79" s="253"/>
      <c r="K79" s="123"/>
      <c r="L79" s="123"/>
    </row>
    <row r="80" spans="1:12" ht="15">
      <c r="A80" s="93" t="s">
        <v>235</v>
      </c>
      <c r="B80" s="64"/>
      <c r="C80" s="65"/>
      <c r="D80" s="66"/>
      <c r="E80" s="268"/>
      <c r="F80" s="269"/>
      <c r="G80" s="270"/>
      <c r="H80" s="254"/>
      <c r="I80" s="255"/>
      <c r="J80" s="256"/>
      <c r="K80" s="123"/>
      <c r="L80" s="123"/>
    </row>
    <row r="81" spans="1:12" ht="15">
      <c r="A81" s="101"/>
      <c r="B81" s="84"/>
      <c r="C81" s="84"/>
      <c r="D81" s="84"/>
      <c r="E81" s="78"/>
      <c r="F81" s="78"/>
      <c r="G81" s="102" t="s">
        <v>236</v>
      </c>
      <c r="H81" s="257">
        <f>H63+H64+H66+H68+H70+H72+H75+H77+H78+H76</f>
        <v>2.755</v>
      </c>
      <c r="I81" s="258"/>
      <c r="J81" s="259"/>
      <c r="K81" s="86"/>
      <c r="L81" s="86"/>
    </row>
    <row r="82" spans="1:12" ht="1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6" spans="1:10" ht="15">
      <c r="A86" s="275" t="s">
        <v>208</v>
      </c>
      <c r="B86" s="275"/>
      <c r="C86" s="275"/>
      <c r="D86" s="275"/>
      <c r="E86" s="275"/>
      <c r="F86" s="275"/>
      <c r="G86" s="275"/>
      <c r="H86" s="275"/>
      <c r="I86" s="275"/>
      <c r="J86" s="275"/>
    </row>
    <row r="87" spans="1:10" ht="15">
      <c r="A87" s="276" t="s">
        <v>395</v>
      </c>
      <c r="B87" s="276"/>
      <c r="C87" s="276"/>
      <c r="D87" s="276"/>
      <c r="E87" s="276"/>
      <c r="F87" s="276"/>
      <c r="G87" s="276"/>
      <c r="H87" s="276"/>
      <c r="I87" s="276"/>
      <c r="J87" s="276"/>
    </row>
    <row r="88" spans="1:10" ht="15">
      <c r="A88" s="55" t="s">
        <v>209</v>
      </c>
      <c r="B88" s="55"/>
      <c r="C88" s="55"/>
      <c r="D88" s="55"/>
      <c r="E88" s="55"/>
      <c r="F88" s="55"/>
      <c r="G88" s="55"/>
      <c r="H88" s="55"/>
      <c r="I88" s="55"/>
      <c r="J88" s="55"/>
    </row>
    <row r="89" spans="1:10" ht="15">
      <c r="A89" s="58" t="s">
        <v>210</v>
      </c>
      <c r="B89" s="59"/>
      <c r="C89" s="60"/>
      <c r="D89" s="277" t="s">
        <v>211</v>
      </c>
      <c r="E89" s="260"/>
      <c r="F89" s="260"/>
      <c r="G89" s="261"/>
      <c r="H89" s="277" t="s">
        <v>212</v>
      </c>
      <c r="I89" s="260"/>
      <c r="J89" s="261"/>
    </row>
    <row r="90" spans="1:10" ht="15">
      <c r="A90" s="63" t="s">
        <v>213</v>
      </c>
      <c r="B90" s="64"/>
      <c r="C90" s="65"/>
      <c r="D90" s="278" t="s">
        <v>214</v>
      </c>
      <c r="E90" s="279"/>
      <c r="F90" s="279"/>
      <c r="G90" s="280"/>
      <c r="H90" s="278" t="s">
        <v>215</v>
      </c>
      <c r="I90" s="279"/>
      <c r="J90" s="280"/>
    </row>
    <row r="91" spans="1:10" ht="15">
      <c r="A91" s="260"/>
      <c r="B91" s="260"/>
      <c r="C91" s="261"/>
      <c r="D91" s="70" t="s">
        <v>216</v>
      </c>
      <c r="E91" s="262">
        <v>14.5</v>
      </c>
      <c r="F91" s="263"/>
      <c r="G91" s="264"/>
      <c r="H91" s="271"/>
      <c r="I91" s="272"/>
      <c r="J91" s="273"/>
    </row>
    <row r="92" spans="1:10" ht="15">
      <c r="A92" s="90" t="s">
        <v>217</v>
      </c>
      <c r="B92" s="69"/>
      <c r="C92" s="91"/>
      <c r="D92" s="81">
        <v>2</v>
      </c>
      <c r="E92" s="265"/>
      <c r="F92" s="266"/>
      <c r="G92" s="267"/>
      <c r="H92" s="245">
        <f>E91*2/100</f>
        <v>0.29</v>
      </c>
      <c r="I92" s="246"/>
      <c r="J92" s="247"/>
    </row>
    <row r="93" spans="1:10" ht="15">
      <c r="A93" s="58" t="s">
        <v>218</v>
      </c>
      <c r="B93" s="59"/>
      <c r="C93" s="60"/>
      <c r="D93" s="79"/>
      <c r="E93" s="265"/>
      <c r="F93" s="266"/>
      <c r="G93" s="267"/>
      <c r="H93" s="274">
        <f>E91*5/100</f>
        <v>0.725</v>
      </c>
      <c r="I93" s="274"/>
      <c r="J93" s="274"/>
    </row>
    <row r="94" spans="1:10" ht="15">
      <c r="A94" s="63" t="s">
        <v>219</v>
      </c>
      <c r="B94" s="64"/>
      <c r="C94" s="65"/>
      <c r="D94" s="83" t="s">
        <v>220</v>
      </c>
      <c r="E94" s="265"/>
      <c r="F94" s="266"/>
      <c r="G94" s="267"/>
      <c r="H94" s="274"/>
      <c r="I94" s="274"/>
      <c r="J94" s="274"/>
    </row>
    <row r="95" spans="1:10" ht="15">
      <c r="A95" s="92" t="s">
        <v>221</v>
      </c>
      <c r="B95" s="59"/>
      <c r="C95" s="60"/>
      <c r="D95" s="79"/>
      <c r="E95" s="265"/>
      <c r="F95" s="266"/>
      <c r="G95" s="267"/>
      <c r="H95" s="274">
        <f>E91*1/100</f>
        <v>0.145</v>
      </c>
      <c r="I95" s="274"/>
      <c r="J95" s="274"/>
    </row>
    <row r="96" spans="1:10" ht="15">
      <c r="A96" s="93" t="s">
        <v>222</v>
      </c>
      <c r="B96" s="64"/>
      <c r="C96" s="65"/>
      <c r="D96" s="83">
        <v>1</v>
      </c>
      <c r="E96" s="265"/>
      <c r="F96" s="266"/>
      <c r="G96" s="267"/>
      <c r="H96" s="274"/>
      <c r="I96" s="274"/>
      <c r="J96" s="274"/>
    </row>
    <row r="97" spans="1:10" ht="15">
      <c r="A97" s="92" t="s">
        <v>223</v>
      </c>
      <c r="B97" s="59"/>
      <c r="C97" s="60"/>
      <c r="D97" s="79"/>
      <c r="E97" s="265"/>
      <c r="F97" s="266"/>
      <c r="G97" s="267"/>
      <c r="H97" s="274">
        <f>E91*1/100</f>
        <v>0.145</v>
      </c>
      <c r="I97" s="274"/>
      <c r="J97" s="274"/>
    </row>
    <row r="98" spans="1:10" ht="15">
      <c r="A98" s="94" t="s">
        <v>224</v>
      </c>
      <c r="B98" s="84"/>
      <c r="C98" s="95"/>
      <c r="D98" s="83">
        <v>1</v>
      </c>
      <c r="E98" s="265"/>
      <c r="F98" s="266"/>
      <c r="G98" s="267"/>
      <c r="H98" s="274"/>
      <c r="I98" s="274"/>
      <c r="J98" s="274"/>
    </row>
    <row r="99" spans="1:10" ht="15">
      <c r="A99" s="92" t="s">
        <v>225</v>
      </c>
      <c r="B99" s="59"/>
      <c r="C99" s="60"/>
      <c r="D99" s="62"/>
      <c r="E99" s="265"/>
      <c r="F99" s="266"/>
      <c r="G99" s="267"/>
      <c r="H99" s="274">
        <f>E91*1/100</f>
        <v>0.145</v>
      </c>
      <c r="I99" s="274"/>
      <c r="J99" s="274"/>
    </row>
    <row r="100" spans="1:10" ht="15">
      <c r="A100" s="93" t="s">
        <v>226</v>
      </c>
      <c r="B100" s="64"/>
      <c r="C100" s="65"/>
      <c r="D100" s="67">
        <v>1</v>
      </c>
      <c r="E100" s="265"/>
      <c r="F100" s="266"/>
      <c r="G100" s="267"/>
      <c r="H100" s="274"/>
      <c r="I100" s="274"/>
      <c r="J100" s="274"/>
    </row>
    <row r="101" spans="1:10" ht="15">
      <c r="A101" s="92" t="s">
        <v>227</v>
      </c>
      <c r="B101" s="59"/>
      <c r="C101" s="60"/>
      <c r="D101" s="96"/>
      <c r="E101" s="265"/>
      <c r="F101" s="266"/>
      <c r="G101" s="267"/>
      <c r="H101" s="248">
        <f>E91*4/100</f>
        <v>0.58</v>
      </c>
      <c r="I101" s="249"/>
      <c r="J101" s="250"/>
    </row>
    <row r="102" spans="1:10" ht="15">
      <c r="A102" s="94" t="s">
        <v>228</v>
      </c>
      <c r="B102" s="84"/>
      <c r="C102" s="95"/>
      <c r="D102" s="97"/>
      <c r="E102" s="265"/>
      <c r="F102" s="266"/>
      <c r="G102" s="267"/>
      <c r="H102" s="251"/>
      <c r="I102" s="252"/>
      <c r="J102" s="253"/>
    </row>
    <row r="103" spans="1:10" ht="15">
      <c r="A103" s="93" t="s">
        <v>229</v>
      </c>
      <c r="B103" s="64"/>
      <c r="C103" s="65"/>
      <c r="D103" s="98">
        <v>4</v>
      </c>
      <c r="E103" s="265"/>
      <c r="F103" s="266"/>
      <c r="G103" s="267"/>
      <c r="H103" s="254"/>
      <c r="I103" s="255"/>
      <c r="J103" s="256"/>
    </row>
    <row r="104" spans="1:10" ht="15">
      <c r="A104" s="68" t="s">
        <v>230</v>
      </c>
      <c r="B104" s="69"/>
      <c r="C104" s="91"/>
      <c r="D104" s="70">
        <v>1</v>
      </c>
      <c r="E104" s="265"/>
      <c r="F104" s="266"/>
      <c r="G104" s="267"/>
      <c r="H104" s="245">
        <f>E91*1/100</f>
        <v>0.145</v>
      </c>
      <c r="I104" s="246"/>
      <c r="J104" s="247"/>
    </row>
    <row r="105" spans="1:10" ht="15">
      <c r="A105" s="68" t="s">
        <v>231</v>
      </c>
      <c r="B105" s="69"/>
      <c r="C105" s="91"/>
      <c r="D105" s="70">
        <v>1</v>
      </c>
      <c r="E105" s="265"/>
      <c r="F105" s="266"/>
      <c r="G105" s="267"/>
      <c r="H105" s="245">
        <f>E91*1/100</f>
        <v>0.145</v>
      </c>
      <c r="I105" s="246"/>
      <c r="J105" s="247"/>
    </row>
    <row r="106" spans="1:10" ht="15">
      <c r="A106" s="68" t="s">
        <v>232</v>
      </c>
      <c r="B106" s="69"/>
      <c r="C106" s="91"/>
      <c r="D106" s="99">
        <v>1</v>
      </c>
      <c r="E106" s="265"/>
      <c r="F106" s="266"/>
      <c r="G106" s="267"/>
      <c r="H106" s="245">
        <f>E91*1/100</f>
        <v>0.145</v>
      </c>
      <c r="I106" s="246"/>
      <c r="J106" s="247"/>
    </row>
    <row r="107" spans="1:10" ht="15">
      <c r="A107" s="92" t="s">
        <v>233</v>
      </c>
      <c r="B107" s="59"/>
      <c r="C107" s="60"/>
      <c r="D107" s="61"/>
      <c r="E107" s="265"/>
      <c r="F107" s="266"/>
      <c r="G107" s="267"/>
      <c r="H107" s="248">
        <f>E91*2/100</f>
        <v>0.29</v>
      </c>
      <c r="I107" s="249"/>
      <c r="J107" s="250"/>
    </row>
    <row r="108" spans="1:10" ht="15">
      <c r="A108" s="94" t="s">
        <v>234</v>
      </c>
      <c r="B108" s="84"/>
      <c r="C108" s="95"/>
      <c r="D108" s="100">
        <v>2</v>
      </c>
      <c r="E108" s="265"/>
      <c r="F108" s="266"/>
      <c r="G108" s="267"/>
      <c r="H108" s="251"/>
      <c r="I108" s="252"/>
      <c r="J108" s="253"/>
    </row>
    <row r="109" spans="1:10" ht="15">
      <c r="A109" s="93" t="s">
        <v>235</v>
      </c>
      <c r="B109" s="64"/>
      <c r="C109" s="65"/>
      <c r="D109" s="66"/>
      <c r="E109" s="268"/>
      <c r="F109" s="269"/>
      <c r="G109" s="270"/>
      <c r="H109" s="254"/>
      <c r="I109" s="255"/>
      <c r="J109" s="256"/>
    </row>
    <row r="110" spans="1:10" ht="15">
      <c r="A110" s="101"/>
      <c r="B110" s="84"/>
      <c r="C110" s="84"/>
      <c r="D110" s="84"/>
      <c r="E110" s="78"/>
      <c r="F110" s="78"/>
      <c r="G110" s="102" t="s">
        <v>236</v>
      </c>
      <c r="H110" s="257">
        <f>H92+H93+H95+H97+H99+H101+H104+H106+H107+H105</f>
        <v>2.755</v>
      </c>
      <c r="I110" s="258"/>
      <c r="J110" s="259"/>
    </row>
  </sheetData>
  <sheetProtection/>
  <mergeCells count="51">
    <mergeCell ref="H81:J81"/>
    <mergeCell ref="H77:J77"/>
    <mergeCell ref="H78:J80"/>
    <mergeCell ref="A58:J58"/>
    <mergeCell ref="D60:G60"/>
    <mergeCell ref="H60:J60"/>
    <mergeCell ref="D61:G61"/>
    <mergeCell ref="H68:J69"/>
    <mergeCell ref="H70:J71"/>
    <mergeCell ref="H61:J61"/>
    <mergeCell ref="M7:N7"/>
    <mergeCell ref="A14:C14"/>
    <mergeCell ref="A25:C25"/>
    <mergeCell ref="A26:C26"/>
    <mergeCell ref="B2:I2"/>
    <mergeCell ref="A3:J3"/>
    <mergeCell ref="A33:J33"/>
    <mergeCell ref="A48:J48"/>
    <mergeCell ref="A49:J49"/>
    <mergeCell ref="F52:H52"/>
    <mergeCell ref="I52:J52"/>
    <mergeCell ref="A57:J57"/>
    <mergeCell ref="A62:C62"/>
    <mergeCell ref="E62:G80"/>
    <mergeCell ref="H62:J62"/>
    <mergeCell ref="H63:J63"/>
    <mergeCell ref="H64:J65"/>
    <mergeCell ref="H66:J67"/>
    <mergeCell ref="H72:J74"/>
    <mergeCell ref="H75:J75"/>
    <mergeCell ref="H76:J76"/>
    <mergeCell ref="H97:J98"/>
    <mergeCell ref="H99:J100"/>
    <mergeCell ref="H101:J103"/>
    <mergeCell ref="H104:J104"/>
    <mergeCell ref="A86:J86"/>
    <mergeCell ref="A87:J87"/>
    <mergeCell ref="D89:G89"/>
    <mergeCell ref="H89:J89"/>
    <mergeCell ref="D90:G90"/>
    <mergeCell ref="H90:J90"/>
    <mergeCell ref="H105:J105"/>
    <mergeCell ref="H106:J106"/>
    <mergeCell ref="H107:J109"/>
    <mergeCell ref="H110:J110"/>
    <mergeCell ref="A91:C91"/>
    <mergeCell ref="E91:G109"/>
    <mergeCell ref="H91:J91"/>
    <mergeCell ref="H92:J92"/>
    <mergeCell ref="H93:J94"/>
    <mergeCell ref="H95:J9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2">
      <selection activeCell="D28" sqref="D28"/>
    </sheetView>
  </sheetViews>
  <sheetFormatPr defaultColWidth="9.140625" defaultRowHeight="15"/>
  <cols>
    <col min="1" max="1" width="4.28125" style="0" customWidth="1"/>
    <col min="2" max="2" width="20.8515625" style="0" customWidth="1"/>
    <col min="3" max="3" width="11.8515625" style="124" bestFit="1" customWidth="1"/>
    <col min="4" max="4" width="32.8515625" style="124" customWidth="1"/>
    <col min="5" max="9" width="0" style="124" hidden="1" customWidth="1"/>
    <col min="10" max="10" width="10.00390625" style="124" customWidth="1"/>
    <col min="11" max="11" width="65.140625" style="0" customWidth="1"/>
  </cols>
  <sheetData>
    <row r="1" spans="1:4" ht="26.25" customHeight="1" hidden="1">
      <c r="A1" s="298"/>
      <c r="B1" s="298"/>
      <c r="C1" s="298"/>
      <c r="D1" s="298"/>
    </row>
    <row r="2" spans="2:4" ht="9.75" customHeight="1">
      <c r="B2" s="125"/>
      <c r="C2" s="126"/>
      <c r="D2" s="126"/>
    </row>
    <row r="3" spans="1:11" ht="21.75" customHeight="1">
      <c r="A3" s="127" t="s">
        <v>260</v>
      </c>
      <c r="B3" s="299" t="s">
        <v>261</v>
      </c>
      <c r="C3" s="299"/>
      <c r="D3" s="299"/>
      <c r="E3" s="299"/>
      <c r="F3" s="299"/>
      <c r="G3" s="299"/>
      <c r="H3" s="299"/>
      <c r="I3" s="299"/>
      <c r="J3" s="299"/>
      <c r="K3" s="299"/>
    </row>
    <row r="4" spans="1:11" ht="50.25" customHeight="1" thickBot="1">
      <c r="A4" s="128" t="s">
        <v>262</v>
      </c>
      <c r="B4" s="129" t="s">
        <v>263</v>
      </c>
      <c r="C4" s="300" t="s">
        <v>264</v>
      </c>
      <c r="D4" s="301"/>
      <c r="J4" s="130" t="s">
        <v>265</v>
      </c>
      <c r="K4" s="130" t="s">
        <v>266</v>
      </c>
    </row>
    <row r="5" spans="1:11" ht="153">
      <c r="A5" s="131">
        <v>1</v>
      </c>
      <c r="B5" s="132" t="s">
        <v>267</v>
      </c>
      <c r="C5" s="133">
        <f>438699.5/1000</f>
        <v>438.6995</v>
      </c>
      <c r="D5" s="134" t="s">
        <v>268</v>
      </c>
      <c r="J5" s="135">
        <f>1.32*22428.4*12/1000</f>
        <v>355.26585600000004</v>
      </c>
      <c r="K5" s="136" t="s">
        <v>269</v>
      </c>
    </row>
    <row r="6" spans="1:11" ht="69.75" customHeight="1">
      <c r="A6" s="137">
        <v>2</v>
      </c>
      <c r="B6" s="138" t="s">
        <v>270</v>
      </c>
      <c r="C6" s="139">
        <f>C5*30.2%</f>
        <v>132.487249</v>
      </c>
      <c r="D6" s="140" t="s">
        <v>271</v>
      </c>
      <c r="J6" s="135">
        <f>J5*30.2%</f>
        <v>107.290288512</v>
      </c>
      <c r="K6" s="141" t="s">
        <v>272</v>
      </c>
    </row>
    <row r="7" spans="1:11" ht="47.25" customHeight="1">
      <c r="A7" s="137">
        <v>3</v>
      </c>
      <c r="B7" s="142" t="s">
        <v>273</v>
      </c>
      <c r="C7" s="143">
        <f>28800/1000</f>
        <v>28.8</v>
      </c>
      <c r="D7" s="144" t="s">
        <v>274</v>
      </c>
      <c r="J7" s="145">
        <v>0</v>
      </c>
      <c r="K7" s="146" t="s">
        <v>275</v>
      </c>
    </row>
    <row r="8" spans="1:11" ht="132.75" customHeight="1">
      <c r="A8" s="137">
        <v>4</v>
      </c>
      <c r="B8" s="142" t="s">
        <v>276</v>
      </c>
      <c r="C8" s="143">
        <f>26627.88/1000</f>
        <v>26.62788</v>
      </c>
      <c r="D8" s="144" t="s">
        <v>277</v>
      </c>
      <c r="J8" s="147">
        <f>470*12*2/1000</f>
        <v>11.28</v>
      </c>
      <c r="K8" s="142" t="s">
        <v>278</v>
      </c>
    </row>
    <row r="9" spans="1:11" ht="244.5" customHeight="1">
      <c r="A9" s="137">
        <v>5</v>
      </c>
      <c r="B9" s="142" t="s">
        <v>279</v>
      </c>
      <c r="C9" s="143">
        <f>18220/1000</f>
        <v>18.22</v>
      </c>
      <c r="D9" s="148" t="s">
        <v>280</v>
      </c>
      <c r="J9" s="135">
        <f>'[1]спецодежда'!H47+3.96</f>
        <v>7.922231156567429</v>
      </c>
      <c r="K9" s="138" t="s">
        <v>281</v>
      </c>
    </row>
    <row r="10" spans="1:11" ht="51.75" customHeight="1">
      <c r="A10" s="137">
        <v>6</v>
      </c>
      <c r="B10" s="142" t="s">
        <v>282</v>
      </c>
      <c r="C10" s="143">
        <f>2592.594/1000</f>
        <v>2.592594</v>
      </c>
      <c r="D10" s="149" t="s">
        <v>283</v>
      </c>
      <c r="J10" s="150">
        <f>1296.297/1000*'[1]численность'!G44</f>
        <v>0.7500203027905858</v>
      </c>
      <c r="K10" s="151" t="s">
        <v>284</v>
      </c>
    </row>
    <row r="11" spans="1:11" ht="85.5" customHeight="1" thickBot="1">
      <c r="A11" s="152">
        <v>7</v>
      </c>
      <c r="B11" s="153" t="s">
        <v>285</v>
      </c>
      <c r="C11" s="154">
        <f>5780/1000</f>
        <v>5.78</v>
      </c>
      <c r="D11" s="149" t="s">
        <v>286</v>
      </c>
      <c r="G11" s="124">
        <f>31002.14/13*1.65</f>
        <v>3934.8869999999993</v>
      </c>
      <c r="J11" s="155">
        <v>0</v>
      </c>
      <c r="K11" s="156" t="s">
        <v>287</v>
      </c>
    </row>
    <row r="12" spans="1:11" ht="21.75" customHeight="1" thickBot="1">
      <c r="A12" s="157"/>
      <c r="B12" s="158" t="s">
        <v>288</v>
      </c>
      <c r="C12" s="159">
        <f>C5+C6+C7+C8+C9+C10+C11</f>
        <v>653.2072229999999</v>
      </c>
      <c r="D12" s="160" t="s">
        <v>289</v>
      </c>
      <c r="J12" s="135">
        <f>SUM(J5:J11)</f>
        <v>482.508395971358</v>
      </c>
      <c r="K12" s="161"/>
    </row>
    <row r="13" spans="1:10" ht="16.5" customHeight="1">
      <c r="A13" s="162" t="s">
        <v>290</v>
      </c>
      <c r="B13" s="163" t="s">
        <v>291</v>
      </c>
      <c r="C13" s="164">
        <f>C12/1.65*0.9</f>
        <v>356.2948489090909</v>
      </c>
      <c r="D13" s="165"/>
      <c r="G13" s="124">
        <f>159/22*1.65</f>
        <v>11.924999999999999</v>
      </c>
      <c r="J13" s="166">
        <f>J12/1.65*0.9</f>
        <v>263.18639780255893</v>
      </c>
    </row>
    <row r="14" spans="1:10" ht="16.5" customHeight="1">
      <c r="A14" s="162"/>
      <c r="B14" s="163" t="s">
        <v>292</v>
      </c>
      <c r="C14" s="164">
        <f>C12/1.65*0.75</f>
        <v>296.91237409090905</v>
      </c>
      <c r="D14" s="165"/>
      <c r="J14" s="166">
        <f>J12/1.65*0.75</f>
        <v>219.3219981687991</v>
      </c>
    </row>
    <row r="15" spans="1:4" ht="31.5" customHeight="1">
      <c r="A15" s="162"/>
      <c r="B15" s="302"/>
      <c r="C15" s="302"/>
      <c r="D15" s="302"/>
    </row>
    <row r="16" spans="1:4" ht="16.5" customHeight="1">
      <c r="A16" s="162"/>
      <c r="B16" s="167"/>
      <c r="C16" s="164"/>
      <c r="D16" s="165"/>
    </row>
    <row r="17" spans="1:4" ht="16.5" customHeight="1">
      <c r="A17" s="162"/>
      <c r="B17" s="167"/>
      <c r="C17" s="165"/>
      <c r="D17" s="165"/>
    </row>
    <row r="18" spans="1:4" ht="21.75" customHeight="1">
      <c r="A18" s="162"/>
      <c r="B18" s="303" t="s">
        <v>293</v>
      </c>
      <c r="C18" s="303"/>
      <c r="D18" s="303"/>
    </row>
    <row r="19" spans="1:4" ht="21.75" customHeight="1" thickBot="1">
      <c r="A19" s="162"/>
      <c r="B19" s="168"/>
      <c r="C19" s="168"/>
      <c r="D19" s="168"/>
    </row>
    <row r="20" spans="1:11" ht="71.25" customHeight="1" thickBot="1">
      <c r="A20" s="169" t="s">
        <v>0</v>
      </c>
      <c r="B20" s="170" t="s">
        <v>263</v>
      </c>
      <c r="C20" s="304" t="s">
        <v>264</v>
      </c>
      <c r="D20" s="305"/>
      <c r="J20" s="171" t="s">
        <v>265</v>
      </c>
      <c r="K20" s="171" t="s">
        <v>266</v>
      </c>
    </row>
    <row r="21" spans="1:11" ht="180" customHeight="1">
      <c r="A21" s="172">
        <v>1</v>
      </c>
      <c r="B21" s="173" t="s">
        <v>294</v>
      </c>
      <c r="C21" s="133">
        <v>831.84</v>
      </c>
      <c r="D21" s="296" t="s">
        <v>295</v>
      </c>
      <c r="E21" s="124">
        <v>2036.98</v>
      </c>
      <c r="J21" s="150">
        <v>638.608</v>
      </c>
      <c r="K21" s="136" t="s">
        <v>296</v>
      </c>
    </row>
    <row r="22" spans="1:11" ht="67.5" customHeight="1">
      <c r="A22" s="174">
        <v>2</v>
      </c>
      <c r="B22" s="175" t="s">
        <v>297</v>
      </c>
      <c r="C22" s="143">
        <f>C21*0.302</f>
        <v>251.21568</v>
      </c>
      <c r="D22" s="297"/>
      <c r="E22" s="124">
        <f>E21*0.302</f>
        <v>615.16796</v>
      </c>
      <c r="J22" s="166">
        <f>J21*0.302</f>
        <v>192.859616</v>
      </c>
      <c r="K22" s="141" t="s">
        <v>289</v>
      </c>
    </row>
    <row r="23" spans="1:11" ht="119.25" customHeight="1">
      <c r="A23" s="174">
        <v>3</v>
      </c>
      <c r="B23" s="175" t="s">
        <v>298</v>
      </c>
      <c r="C23" s="143">
        <v>122.73</v>
      </c>
      <c r="D23" s="140" t="s">
        <v>299</v>
      </c>
      <c r="E23" s="176">
        <f>C23</f>
        <v>122.73</v>
      </c>
      <c r="J23" s="199"/>
      <c r="K23" s="177" t="s">
        <v>300</v>
      </c>
    </row>
    <row r="24" spans="1:11" ht="25.5">
      <c r="A24" s="174">
        <v>4</v>
      </c>
      <c r="B24" s="175" t="s">
        <v>301</v>
      </c>
      <c r="C24" s="178">
        <f>SUM(C25:C27)</f>
        <v>314.51408000000004</v>
      </c>
      <c r="D24" s="140" t="s">
        <v>289</v>
      </c>
      <c r="E24" s="179">
        <f>E25+E27+E28</f>
        <v>418.84000000000003</v>
      </c>
      <c r="J24" s="199">
        <f>J25+J27+J28+J26</f>
        <v>385.545632</v>
      </c>
      <c r="K24" s="180" t="s">
        <v>17</v>
      </c>
    </row>
    <row r="25" spans="1:11" ht="25.5">
      <c r="A25" s="181" t="s">
        <v>302</v>
      </c>
      <c r="B25" s="175" t="s">
        <v>303</v>
      </c>
      <c r="C25" s="178">
        <v>131.04</v>
      </c>
      <c r="D25" s="182" t="s">
        <v>336</v>
      </c>
      <c r="E25" s="179">
        <f>C25</f>
        <v>131.04</v>
      </c>
      <c r="J25" s="150">
        <v>52.416</v>
      </c>
      <c r="K25" s="136" t="s">
        <v>304</v>
      </c>
    </row>
    <row r="26" spans="1:11" ht="25.5">
      <c r="A26" s="181" t="s">
        <v>289</v>
      </c>
      <c r="B26" s="175" t="s">
        <v>305</v>
      </c>
      <c r="C26" s="178">
        <f>C25*30.2/100</f>
        <v>39.574079999999995</v>
      </c>
      <c r="D26" s="183" t="s">
        <v>289</v>
      </c>
      <c r="E26" s="179"/>
      <c r="J26" s="150">
        <f>J25*30.2%</f>
        <v>15.829631999999998</v>
      </c>
      <c r="K26" s="141" t="s">
        <v>306</v>
      </c>
    </row>
    <row r="27" spans="1:11" ht="102">
      <c r="A27" s="181" t="s">
        <v>307</v>
      </c>
      <c r="B27" s="175" t="s">
        <v>337</v>
      </c>
      <c r="C27" s="178">
        <v>143.9</v>
      </c>
      <c r="D27" s="184" t="s">
        <v>308</v>
      </c>
      <c r="E27" s="179">
        <f>C27</f>
        <v>143.9</v>
      </c>
      <c r="J27" s="200">
        <v>91.8</v>
      </c>
      <c r="K27" s="136" t="s">
        <v>304</v>
      </c>
    </row>
    <row r="28" spans="1:11" ht="53.25" customHeight="1">
      <c r="A28" s="181" t="s">
        <v>309</v>
      </c>
      <c r="B28" s="175" t="s">
        <v>310</v>
      </c>
      <c r="C28" s="178">
        <v>143.9</v>
      </c>
      <c r="D28" s="185" t="s">
        <v>311</v>
      </c>
      <c r="E28" s="179">
        <f>C28</f>
        <v>143.9</v>
      </c>
      <c r="J28" s="201">
        <v>225.5</v>
      </c>
      <c r="K28" s="136" t="s">
        <v>304</v>
      </c>
    </row>
    <row r="29" spans="1:11" ht="38.25">
      <c r="A29" s="174">
        <v>5</v>
      </c>
      <c r="B29" s="175" t="s">
        <v>276</v>
      </c>
      <c r="C29" s="178">
        <v>43.056</v>
      </c>
      <c r="D29" s="144" t="s">
        <v>312</v>
      </c>
      <c r="E29" s="186">
        <v>44.4</v>
      </c>
      <c r="F29" s="187"/>
      <c r="G29" s="187"/>
      <c r="H29" s="187"/>
      <c r="I29" s="187"/>
      <c r="J29" s="198">
        <v>0</v>
      </c>
      <c r="K29" s="136" t="s">
        <v>313</v>
      </c>
    </row>
    <row r="30" spans="1:11" ht="76.5">
      <c r="A30" s="174">
        <v>6</v>
      </c>
      <c r="B30" s="175" t="s">
        <v>314</v>
      </c>
      <c r="C30" s="178">
        <v>15.8</v>
      </c>
      <c r="D30" s="185" t="s">
        <v>315</v>
      </c>
      <c r="E30" s="179">
        <f>C30</f>
        <v>15.8</v>
      </c>
      <c r="H30" s="124">
        <f>1500*38.8</f>
        <v>58199.99999999999</v>
      </c>
      <c r="I30" s="124">
        <f>58200+28600</f>
        <v>86800</v>
      </c>
      <c r="J30" s="145">
        <v>15.8</v>
      </c>
      <c r="K30" s="136" t="s">
        <v>313</v>
      </c>
    </row>
    <row r="31" spans="1:11" ht="28.5" customHeight="1">
      <c r="A31" s="174">
        <v>8</v>
      </c>
      <c r="B31" s="175" t="s">
        <v>316</v>
      </c>
      <c r="C31" s="178">
        <v>14.4</v>
      </c>
      <c r="D31" s="182" t="s">
        <v>338</v>
      </c>
      <c r="E31" s="179">
        <f>C31</f>
        <v>14.4</v>
      </c>
      <c r="J31" s="145">
        <v>14.4</v>
      </c>
      <c r="K31" s="136" t="s">
        <v>317</v>
      </c>
    </row>
    <row r="32" spans="1:11" ht="27" customHeight="1">
      <c r="A32" s="174">
        <v>9</v>
      </c>
      <c r="B32" s="175" t="s">
        <v>318</v>
      </c>
      <c r="C32" s="178">
        <v>3.6</v>
      </c>
      <c r="D32" s="182" t="s">
        <v>338</v>
      </c>
      <c r="E32" s="179">
        <f>C32</f>
        <v>3.6</v>
      </c>
      <c r="J32" s="147">
        <v>3.6</v>
      </c>
      <c r="K32" s="180" t="s">
        <v>319</v>
      </c>
    </row>
    <row r="33" spans="1:11" ht="65.25" customHeight="1" thickBot="1">
      <c r="A33" s="174">
        <v>11</v>
      </c>
      <c r="B33" s="142" t="s">
        <v>282</v>
      </c>
      <c r="C33" s="178">
        <v>0</v>
      </c>
      <c r="D33" s="140"/>
      <c r="E33" s="179">
        <f>C33</f>
        <v>0</v>
      </c>
      <c r="J33" s="150">
        <v>0</v>
      </c>
      <c r="K33" s="180"/>
    </row>
    <row r="34" spans="1:11" ht="24" customHeight="1" thickBot="1">
      <c r="A34" s="188"/>
      <c r="B34" s="189" t="s">
        <v>320</v>
      </c>
      <c r="C34" s="190">
        <f>SUM(C21:C33)</f>
        <v>2055.56984</v>
      </c>
      <c r="D34" s="191" t="s">
        <v>289</v>
      </c>
      <c r="E34" s="176" t="e">
        <f>E21+E22+E23+E24+E29+E30+#REF!+E31+E32+#REF!+E33</f>
        <v>#REF!</v>
      </c>
      <c r="F34" s="124" t="e">
        <f>E34/G34</f>
        <v>#REF!</v>
      </c>
      <c r="G34" s="124">
        <f>3699.2+3449.68</f>
        <v>7148.879999999999</v>
      </c>
      <c r="H34" s="124" t="e">
        <f>3699.2*F34</f>
        <v>#REF!</v>
      </c>
      <c r="I34" s="124" t="e">
        <f>E34-H34</f>
        <v>#REF!</v>
      </c>
      <c r="J34" s="190">
        <f>J23+J24+J29+J30+J31+J32+J33</f>
        <v>419.345632</v>
      </c>
      <c r="K34" s="161"/>
    </row>
    <row r="35" spans="1:4" ht="15">
      <c r="A35" s="192"/>
      <c r="B35" s="192"/>
      <c r="C35" s="126"/>
      <c r="D35" s="126"/>
    </row>
    <row r="36" spans="1:4" ht="15">
      <c r="A36" s="192"/>
      <c r="B36" s="192" t="s">
        <v>321</v>
      </c>
      <c r="C36" s="126"/>
      <c r="D36" s="126"/>
    </row>
    <row r="37" spans="1:4" ht="15">
      <c r="A37" s="192"/>
      <c r="B37" s="192" t="s">
        <v>322</v>
      </c>
      <c r="C37" s="193">
        <f>'[1]ТЭ с расшифровкой ОР'!I110</f>
        <v>2589.957135135137</v>
      </c>
      <c r="D37" s="194"/>
    </row>
    <row r="38" spans="1:4" ht="15">
      <c r="A38" s="192"/>
      <c r="B38" s="192" t="s">
        <v>323</v>
      </c>
      <c r="C38" s="193">
        <f>'[2]ТЭ'!$I$109</f>
        <v>3340.648673187793</v>
      </c>
      <c r="D38" s="194"/>
    </row>
    <row r="39" spans="1:4" ht="15">
      <c r="A39" s="192"/>
      <c r="B39" s="192" t="s">
        <v>324</v>
      </c>
      <c r="C39" s="193">
        <f>'[3]штатное расписание '!$L$115</f>
        <v>102.73161599999997</v>
      </c>
      <c r="D39" s="194"/>
    </row>
    <row r="40" spans="1:4" ht="15">
      <c r="A40" s="192"/>
      <c r="B40" s="192" t="s">
        <v>325</v>
      </c>
      <c r="C40" s="193">
        <f>'[3]штатное расписание '!$L$113</f>
        <v>55.47507264</v>
      </c>
      <c r="D40" s="194"/>
    </row>
    <row r="41" spans="1:4" ht="15">
      <c r="A41" s="192"/>
      <c r="B41" s="192" t="s">
        <v>326</v>
      </c>
      <c r="C41" s="193">
        <f>SUM(C37:C40)</f>
        <v>6088.81249696293</v>
      </c>
      <c r="D41" s="195"/>
    </row>
    <row r="43" spans="2:4" ht="15">
      <c r="B43" s="192" t="s">
        <v>327</v>
      </c>
      <c r="C43">
        <v>1835.5</v>
      </c>
      <c r="D43" s="196">
        <f>D47/C47*C43</f>
        <v>120.56654932347551</v>
      </c>
    </row>
    <row r="44" spans="2:4" ht="15">
      <c r="B44" s="192" t="s">
        <v>328</v>
      </c>
      <c r="C44">
        <v>1207.1</v>
      </c>
      <c r="D44" s="196">
        <f>D47/C47*C44</f>
        <v>79.28950241806989</v>
      </c>
    </row>
    <row r="45" spans="2:10" ht="15">
      <c r="B45" s="192" t="s">
        <v>329</v>
      </c>
      <c r="C45">
        <v>3341.5</v>
      </c>
      <c r="D45" s="196">
        <f>D47/C47*C45</f>
        <v>219.4895802584546</v>
      </c>
      <c r="J45" s="176">
        <f>D44+D45</f>
        <v>298.77908267652447</v>
      </c>
    </row>
    <row r="46" ht="15">
      <c r="J46" s="176"/>
    </row>
    <row r="47" spans="2:4" ht="15">
      <c r="B47" s="192" t="s">
        <v>330</v>
      </c>
      <c r="C47" s="196">
        <f>SUM(C43:C46)</f>
        <v>6384.1</v>
      </c>
      <c r="D47" s="179">
        <f>J34</f>
        <v>419.345632</v>
      </c>
    </row>
    <row r="48" spans="2:4" ht="15">
      <c r="B48" s="192"/>
      <c r="D48" s="196"/>
    </row>
  </sheetData>
  <sheetProtection/>
  <mergeCells count="7">
    <mergeCell ref="D21:D22"/>
    <mergeCell ref="A1:D1"/>
    <mergeCell ref="B3:K3"/>
    <mergeCell ref="C4:D4"/>
    <mergeCell ref="B15:D15"/>
    <mergeCell ref="B18:D18"/>
    <mergeCell ref="C20:D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O40"/>
  <sheetViews>
    <sheetView zoomScalePageLayoutView="0" workbookViewId="0" topLeftCell="A16">
      <selection activeCell="B36" sqref="B36"/>
    </sheetView>
  </sheetViews>
  <sheetFormatPr defaultColWidth="9.140625" defaultRowHeight="15"/>
  <cols>
    <col min="1" max="1" width="25.140625" style="0" customWidth="1"/>
  </cols>
  <sheetData>
    <row r="3" spans="1:13" ht="30">
      <c r="A3" s="103" t="s">
        <v>237</v>
      </c>
      <c r="B3" s="105" t="s">
        <v>238</v>
      </c>
      <c r="C3" s="105" t="s">
        <v>239</v>
      </c>
      <c r="D3" s="105" t="s">
        <v>240</v>
      </c>
      <c r="E3" s="105" t="s">
        <v>241</v>
      </c>
      <c r="F3" s="105" t="s">
        <v>242</v>
      </c>
      <c r="G3" s="105" t="s">
        <v>243</v>
      </c>
      <c r="H3" s="105" t="s">
        <v>244</v>
      </c>
      <c r="I3" s="107" t="s">
        <v>236</v>
      </c>
      <c r="J3" s="105" t="s">
        <v>245</v>
      </c>
      <c r="K3" s="105" t="s">
        <v>246</v>
      </c>
      <c r="L3" s="109" t="s">
        <v>247</v>
      </c>
      <c r="M3" s="109" t="s">
        <v>248</v>
      </c>
    </row>
    <row r="4" spans="1:13" ht="15">
      <c r="A4" s="103" t="s">
        <v>396</v>
      </c>
      <c r="B4" s="103">
        <v>0.5</v>
      </c>
      <c r="C4" s="103">
        <v>23079.04</v>
      </c>
      <c r="D4" s="103">
        <f>C4*B4</f>
        <v>11539.52</v>
      </c>
      <c r="E4" s="103"/>
      <c r="F4" s="103"/>
      <c r="G4" s="103"/>
      <c r="H4" s="103"/>
      <c r="I4" s="108">
        <f aca="true" t="shared" si="0" ref="I4:I10">SUM(D4:H4)</f>
        <v>11539.52</v>
      </c>
      <c r="J4" s="103">
        <f aca="true" t="shared" si="1" ref="J4:J9">D4*30%</f>
        <v>3461.856</v>
      </c>
      <c r="K4" s="103">
        <f aca="true" t="shared" si="2" ref="K4:K9">I4*30%</f>
        <v>3461.856</v>
      </c>
      <c r="L4" s="106">
        <f aca="true" t="shared" si="3" ref="L4:L10">SUM(I4:K4)</f>
        <v>18463.232</v>
      </c>
      <c r="M4" s="106">
        <f aca="true" t="shared" si="4" ref="M4:M10">L4*12</f>
        <v>221558.78399999999</v>
      </c>
    </row>
    <row r="5" spans="1:13" ht="15">
      <c r="A5" s="103" t="s">
        <v>397</v>
      </c>
      <c r="B5" s="103">
        <v>0.5</v>
      </c>
      <c r="C5" s="103">
        <v>16896.92</v>
      </c>
      <c r="D5" s="103">
        <f aca="true" t="shared" si="5" ref="D5:D10">C5*B5</f>
        <v>8448.46</v>
      </c>
      <c r="E5" s="103"/>
      <c r="F5" s="103"/>
      <c r="G5" s="103"/>
      <c r="H5" s="103"/>
      <c r="I5" s="108">
        <f t="shared" si="0"/>
        <v>8448.46</v>
      </c>
      <c r="J5" s="103">
        <f t="shared" si="1"/>
        <v>2534.5379999999996</v>
      </c>
      <c r="K5" s="103">
        <f t="shared" si="2"/>
        <v>2534.5379999999996</v>
      </c>
      <c r="L5" s="106">
        <f t="shared" si="3"/>
        <v>13517.536</v>
      </c>
      <c r="M5" s="106">
        <f t="shared" si="4"/>
        <v>162210.432</v>
      </c>
    </row>
    <row r="6" spans="1:13" ht="15">
      <c r="A6" s="103" t="s">
        <v>398</v>
      </c>
      <c r="B6" s="103">
        <v>0.5</v>
      </c>
      <c r="C6" s="103">
        <v>16896.92</v>
      </c>
      <c r="D6" s="103">
        <f t="shared" si="5"/>
        <v>8448.46</v>
      </c>
      <c r="E6" s="103"/>
      <c r="F6" s="103"/>
      <c r="G6" s="103"/>
      <c r="H6" s="103"/>
      <c r="I6" s="108">
        <f t="shared" si="0"/>
        <v>8448.46</v>
      </c>
      <c r="J6" s="103">
        <f t="shared" si="1"/>
        <v>2534.5379999999996</v>
      </c>
      <c r="K6" s="103">
        <f t="shared" si="2"/>
        <v>2534.5379999999996</v>
      </c>
      <c r="L6" s="106">
        <f t="shared" si="3"/>
        <v>13517.536</v>
      </c>
      <c r="M6" s="106">
        <f t="shared" si="4"/>
        <v>162210.432</v>
      </c>
    </row>
    <row r="7" spans="1:13" ht="15">
      <c r="A7" s="103" t="s">
        <v>249</v>
      </c>
      <c r="B7" s="103">
        <v>1</v>
      </c>
      <c r="C7" s="103">
        <v>16896.92</v>
      </c>
      <c r="D7" s="103">
        <f t="shared" si="5"/>
        <v>16896.92</v>
      </c>
      <c r="E7" s="103"/>
      <c r="F7" s="225">
        <f>D7*4%</f>
        <v>675.8767999999999</v>
      </c>
      <c r="G7" s="103"/>
      <c r="H7" s="103"/>
      <c r="I7" s="108">
        <f t="shared" si="0"/>
        <v>17572.796799999996</v>
      </c>
      <c r="J7" s="103">
        <f t="shared" si="1"/>
        <v>5069.075999999999</v>
      </c>
      <c r="K7" s="103">
        <f t="shared" si="2"/>
        <v>5271.839039999999</v>
      </c>
      <c r="L7" s="106">
        <f t="shared" si="3"/>
        <v>27913.711839999996</v>
      </c>
      <c r="M7" s="106">
        <f t="shared" si="4"/>
        <v>334964.5420799999</v>
      </c>
    </row>
    <row r="8" spans="1:13" ht="15">
      <c r="A8" s="104" t="s">
        <v>250</v>
      </c>
      <c r="B8" s="103">
        <v>0.5</v>
      </c>
      <c r="C8" s="103">
        <v>10303</v>
      </c>
      <c r="D8" s="103">
        <f t="shared" si="5"/>
        <v>5151.5</v>
      </c>
      <c r="E8" s="103">
        <f>D8*15%</f>
        <v>772.725</v>
      </c>
      <c r="F8" s="225">
        <f>D8*4%</f>
        <v>206.06</v>
      </c>
      <c r="G8" s="103"/>
      <c r="H8" s="103"/>
      <c r="I8" s="108">
        <f t="shared" si="0"/>
        <v>6130.285000000001</v>
      </c>
      <c r="J8" s="103">
        <f t="shared" si="1"/>
        <v>1545.45</v>
      </c>
      <c r="K8" s="103">
        <f t="shared" si="2"/>
        <v>1839.0855000000001</v>
      </c>
      <c r="L8" s="106">
        <f t="shared" si="3"/>
        <v>9514.820500000002</v>
      </c>
      <c r="M8" s="106">
        <f t="shared" si="4"/>
        <v>114177.84600000002</v>
      </c>
    </row>
    <row r="9" spans="1:13" ht="15">
      <c r="A9" s="104" t="s">
        <v>399</v>
      </c>
      <c r="B9" s="103">
        <v>1</v>
      </c>
      <c r="C9" s="103">
        <v>10303</v>
      </c>
      <c r="D9" s="103">
        <f t="shared" si="5"/>
        <v>10303</v>
      </c>
      <c r="E9" s="103">
        <f>D9*15%</f>
        <v>1545.45</v>
      </c>
      <c r="F9" s="103"/>
      <c r="G9" s="103"/>
      <c r="H9" s="103"/>
      <c r="I9" s="108">
        <f t="shared" si="0"/>
        <v>11848.45</v>
      </c>
      <c r="J9" s="103">
        <f t="shared" si="1"/>
        <v>3090.9</v>
      </c>
      <c r="K9" s="103">
        <f t="shared" si="2"/>
        <v>3554.5350000000003</v>
      </c>
      <c r="L9" s="106">
        <f t="shared" si="3"/>
        <v>18493.885000000002</v>
      </c>
      <c r="M9" s="106">
        <f t="shared" si="4"/>
        <v>221926.62000000002</v>
      </c>
    </row>
    <row r="10" spans="1:13" ht="45">
      <c r="A10" s="224" t="s">
        <v>400</v>
      </c>
      <c r="B10" s="103">
        <v>1</v>
      </c>
      <c r="C10" s="103">
        <v>10303</v>
      </c>
      <c r="D10" s="103">
        <f t="shared" si="5"/>
        <v>10303</v>
      </c>
      <c r="E10" s="103">
        <f>D10*15%</f>
        <v>1545.45</v>
      </c>
      <c r="F10" s="103"/>
      <c r="G10" s="103"/>
      <c r="H10" s="103"/>
      <c r="I10" s="108">
        <f t="shared" si="0"/>
        <v>11848.45</v>
      </c>
      <c r="J10" s="103">
        <f>D10*30%</f>
        <v>3090.9</v>
      </c>
      <c r="K10" s="103">
        <f>I10*30%</f>
        <v>3554.5350000000003</v>
      </c>
      <c r="L10" s="106">
        <f t="shared" si="3"/>
        <v>18493.885000000002</v>
      </c>
      <c r="M10" s="106">
        <f t="shared" si="4"/>
        <v>221926.62000000002</v>
      </c>
    </row>
    <row r="11" spans="1:15" ht="15">
      <c r="A11" s="104" t="s">
        <v>236</v>
      </c>
      <c r="B11" s="103">
        <f>SUM(B4:B10)</f>
        <v>5</v>
      </c>
      <c r="C11" s="103"/>
      <c r="D11" s="103">
        <f>SUM(D4:D9)</f>
        <v>60787.86</v>
      </c>
      <c r="E11" s="103">
        <f aca="true" t="shared" si="6" ref="E11:K11">SUM(E4:E9)</f>
        <v>2318.175</v>
      </c>
      <c r="F11" s="103">
        <f t="shared" si="6"/>
        <v>881.9368</v>
      </c>
      <c r="G11" s="103">
        <f t="shared" si="6"/>
        <v>0</v>
      </c>
      <c r="H11" s="103">
        <f t="shared" si="6"/>
        <v>0</v>
      </c>
      <c r="I11" s="103">
        <f t="shared" si="6"/>
        <v>63987.9718</v>
      </c>
      <c r="J11" s="103">
        <f t="shared" si="6"/>
        <v>18236.358</v>
      </c>
      <c r="K11" s="103">
        <f t="shared" si="6"/>
        <v>19196.39154</v>
      </c>
      <c r="L11" s="103">
        <f>SUM(L4:L10)</f>
        <v>119914.60634000003</v>
      </c>
      <c r="M11" s="103">
        <f>SUM(M4:M10)</f>
        <v>1438975.2760800002</v>
      </c>
      <c r="N11" s="226"/>
      <c r="O11" s="162"/>
    </row>
    <row r="14" spans="1:13" ht="30">
      <c r="A14" s="103" t="s">
        <v>237</v>
      </c>
      <c r="B14" s="105" t="s">
        <v>238</v>
      </c>
      <c r="C14" s="105" t="s">
        <v>239</v>
      </c>
      <c r="D14" s="105" t="s">
        <v>240</v>
      </c>
      <c r="E14" s="105" t="s">
        <v>241</v>
      </c>
      <c r="F14" s="105" t="s">
        <v>242</v>
      </c>
      <c r="G14" s="105" t="s">
        <v>243</v>
      </c>
      <c r="H14" s="105" t="s">
        <v>244</v>
      </c>
      <c r="I14" s="107" t="s">
        <v>236</v>
      </c>
      <c r="J14" s="105" t="s">
        <v>245</v>
      </c>
      <c r="K14" s="105" t="s">
        <v>246</v>
      </c>
      <c r="L14" s="109" t="s">
        <v>247</v>
      </c>
      <c r="M14" s="109" t="s">
        <v>248</v>
      </c>
    </row>
    <row r="15" spans="1:13" ht="15">
      <c r="A15" s="202" t="s">
        <v>401</v>
      </c>
      <c r="B15" s="103">
        <v>2</v>
      </c>
      <c r="C15" s="103">
        <v>11951.5</v>
      </c>
      <c r="D15" s="103">
        <f>C15*B15</f>
        <v>23903</v>
      </c>
      <c r="E15" s="103"/>
      <c r="F15" s="225">
        <f aca="true" t="shared" si="7" ref="F15:F25">D15*4%</f>
        <v>956.12</v>
      </c>
      <c r="G15" s="103">
        <v>136.23</v>
      </c>
      <c r="H15" s="103">
        <v>2209.87</v>
      </c>
      <c r="I15" s="108">
        <f aca="true" t="shared" si="8" ref="I15:I25">SUM(D15:H15)</f>
        <v>27205.219999999998</v>
      </c>
      <c r="J15" s="103">
        <f aca="true" t="shared" si="9" ref="J15:J20">D15*30%</f>
        <v>7170.9</v>
      </c>
      <c r="K15" s="103">
        <f aca="true" t="shared" si="10" ref="K15:K20">I15*30%</f>
        <v>8161.565999999999</v>
      </c>
      <c r="L15" s="106">
        <f aca="true" t="shared" si="11" ref="L15:L25">SUM(I15:K15)</f>
        <v>42537.685999999994</v>
      </c>
      <c r="M15" s="106">
        <f aca="true" t="shared" si="12" ref="M15:M25">L15*12</f>
        <v>510452.23199999996</v>
      </c>
    </row>
    <row r="16" spans="1:13" ht="15">
      <c r="A16" s="202" t="s">
        <v>402</v>
      </c>
      <c r="B16" s="103">
        <v>1</v>
      </c>
      <c r="C16" s="103">
        <v>11951.5</v>
      </c>
      <c r="D16" s="103">
        <f aca="true" t="shared" si="13" ref="D16:D25">C16*B16</f>
        <v>11951.5</v>
      </c>
      <c r="E16" s="103"/>
      <c r="F16" s="225">
        <f t="shared" si="7"/>
        <v>478.06</v>
      </c>
      <c r="G16" s="103"/>
      <c r="H16" s="103"/>
      <c r="I16" s="108">
        <f t="shared" si="8"/>
        <v>12429.56</v>
      </c>
      <c r="J16" s="103">
        <f t="shared" si="9"/>
        <v>3585.45</v>
      </c>
      <c r="K16" s="103">
        <f t="shared" si="10"/>
        <v>3728.8679999999995</v>
      </c>
      <c r="L16" s="106">
        <f t="shared" si="11"/>
        <v>19743.877999999997</v>
      </c>
      <c r="M16" s="106">
        <f t="shared" si="12"/>
        <v>236926.53599999996</v>
      </c>
    </row>
    <row r="17" spans="1:13" ht="15">
      <c r="A17" s="202" t="s">
        <v>403</v>
      </c>
      <c r="B17" s="103">
        <v>1</v>
      </c>
      <c r="C17" s="103">
        <v>11951.5</v>
      </c>
      <c r="D17" s="103">
        <f t="shared" si="13"/>
        <v>11951.5</v>
      </c>
      <c r="E17" s="103"/>
      <c r="F17" s="225">
        <f t="shared" si="7"/>
        <v>478.06</v>
      </c>
      <c r="G17" s="103"/>
      <c r="H17" s="103"/>
      <c r="I17" s="108">
        <f t="shared" si="8"/>
        <v>12429.56</v>
      </c>
      <c r="J17" s="103">
        <f t="shared" si="9"/>
        <v>3585.45</v>
      </c>
      <c r="K17" s="103">
        <f t="shared" si="10"/>
        <v>3728.8679999999995</v>
      </c>
      <c r="L17" s="106">
        <f t="shared" si="11"/>
        <v>19743.877999999997</v>
      </c>
      <c r="M17" s="106">
        <f t="shared" si="12"/>
        <v>236926.53599999996</v>
      </c>
    </row>
    <row r="18" spans="1:13" ht="15">
      <c r="A18" s="202" t="s">
        <v>404</v>
      </c>
      <c r="B18" s="103">
        <v>2</v>
      </c>
      <c r="C18" s="103">
        <v>11951.5</v>
      </c>
      <c r="D18" s="103">
        <f t="shared" si="13"/>
        <v>23903</v>
      </c>
      <c r="E18" s="103"/>
      <c r="F18" s="225">
        <f t="shared" si="7"/>
        <v>956.12</v>
      </c>
      <c r="G18" s="103">
        <v>136.23</v>
      </c>
      <c r="H18" s="103">
        <v>2209.87</v>
      </c>
      <c r="I18" s="108">
        <f t="shared" si="8"/>
        <v>27205.219999999998</v>
      </c>
      <c r="J18" s="103">
        <f t="shared" si="9"/>
        <v>7170.9</v>
      </c>
      <c r="K18" s="103">
        <f t="shared" si="10"/>
        <v>8161.565999999999</v>
      </c>
      <c r="L18" s="106">
        <f t="shared" si="11"/>
        <v>42537.685999999994</v>
      </c>
      <c r="M18" s="106">
        <f t="shared" si="12"/>
        <v>510452.23199999996</v>
      </c>
    </row>
    <row r="19" spans="1:13" ht="15">
      <c r="A19" s="224" t="s">
        <v>405</v>
      </c>
      <c r="B19" s="103">
        <v>1</v>
      </c>
      <c r="C19" s="103">
        <v>11951.5</v>
      </c>
      <c r="D19" s="103">
        <f t="shared" si="13"/>
        <v>11951.5</v>
      </c>
      <c r="E19" s="103"/>
      <c r="F19" s="225">
        <f t="shared" si="7"/>
        <v>478.06</v>
      </c>
      <c r="G19" s="103"/>
      <c r="H19" s="103"/>
      <c r="I19" s="108">
        <f t="shared" si="8"/>
        <v>12429.56</v>
      </c>
      <c r="J19" s="103">
        <f t="shared" si="9"/>
        <v>3585.45</v>
      </c>
      <c r="K19" s="103">
        <f t="shared" si="10"/>
        <v>3728.8679999999995</v>
      </c>
      <c r="L19" s="106">
        <f t="shared" si="11"/>
        <v>19743.877999999997</v>
      </c>
      <c r="M19" s="106">
        <f t="shared" si="12"/>
        <v>236926.53599999996</v>
      </c>
    </row>
    <row r="20" spans="1:13" ht="30">
      <c r="A20" s="224" t="s">
        <v>406</v>
      </c>
      <c r="B20" s="103">
        <v>1</v>
      </c>
      <c r="C20" s="103">
        <v>11951.5</v>
      </c>
      <c r="D20" s="103">
        <f t="shared" si="13"/>
        <v>11951.5</v>
      </c>
      <c r="E20" s="103"/>
      <c r="F20" s="225">
        <f t="shared" si="7"/>
        <v>478.06</v>
      </c>
      <c r="G20" s="103"/>
      <c r="H20" s="103"/>
      <c r="I20" s="108">
        <f t="shared" si="8"/>
        <v>12429.56</v>
      </c>
      <c r="J20" s="103">
        <f t="shared" si="9"/>
        <v>3585.45</v>
      </c>
      <c r="K20" s="103">
        <f t="shared" si="10"/>
        <v>3728.8679999999995</v>
      </c>
      <c r="L20" s="106">
        <f t="shared" si="11"/>
        <v>19743.877999999997</v>
      </c>
      <c r="M20" s="106">
        <f t="shared" si="12"/>
        <v>236926.53599999996</v>
      </c>
    </row>
    <row r="21" spans="1:13" ht="30">
      <c r="A21" s="224" t="s">
        <v>407</v>
      </c>
      <c r="B21" s="103">
        <v>3</v>
      </c>
      <c r="C21" s="103">
        <v>11951.5</v>
      </c>
      <c r="D21" s="103">
        <f t="shared" si="13"/>
        <v>35854.5</v>
      </c>
      <c r="E21" s="103"/>
      <c r="F21" s="225">
        <f t="shared" si="7"/>
        <v>1434.18</v>
      </c>
      <c r="G21" s="103">
        <f>136.23*B21</f>
        <v>408.68999999999994</v>
      </c>
      <c r="H21" s="103">
        <f>2209.87*B21</f>
        <v>6629.61</v>
      </c>
      <c r="I21" s="108">
        <f t="shared" si="8"/>
        <v>44326.98</v>
      </c>
      <c r="J21" s="103">
        <f>D21*30%</f>
        <v>10756.35</v>
      </c>
      <c r="K21" s="103">
        <f>I21*30%</f>
        <v>13298.094000000001</v>
      </c>
      <c r="L21" s="106">
        <f t="shared" si="11"/>
        <v>68381.424</v>
      </c>
      <c r="M21" s="106">
        <f t="shared" si="12"/>
        <v>820577.088</v>
      </c>
    </row>
    <row r="22" spans="1:13" ht="15">
      <c r="A22" s="224" t="s">
        <v>408</v>
      </c>
      <c r="B22" s="103">
        <v>0.5</v>
      </c>
      <c r="C22" s="103">
        <v>11951.5</v>
      </c>
      <c r="D22" s="103">
        <f t="shared" si="13"/>
        <v>5975.75</v>
      </c>
      <c r="E22" s="103"/>
      <c r="F22" s="225">
        <f t="shared" si="7"/>
        <v>239.03</v>
      </c>
      <c r="G22" s="103"/>
      <c r="H22" s="103"/>
      <c r="I22" s="108">
        <f t="shared" si="8"/>
        <v>6214.78</v>
      </c>
      <c r="J22" s="103">
        <f>D22*30%</f>
        <v>1792.725</v>
      </c>
      <c r="K22" s="103">
        <f>I22*30%</f>
        <v>1864.4339999999997</v>
      </c>
      <c r="L22" s="106">
        <f t="shared" si="11"/>
        <v>9871.938999999998</v>
      </c>
      <c r="M22" s="106">
        <f t="shared" si="12"/>
        <v>118463.26799999998</v>
      </c>
    </row>
    <row r="23" spans="1:13" ht="45">
      <c r="A23" s="224" t="s">
        <v>409</v>
      </c>
      <c r="B23" s="103">
        <v>0.5</v>
      </c>
      <c r="C23" s="103">
        <v>16896.92</v>
      </c>
      <c r="D23" s="103">
        <f t="shared" si="13"/>
        <v>8448.46</v>
      </c>
      <c r="E23" s="103"/>
      <c r="F23" s="225">
        <f>D23*4%</f>
        <v>337.93839999999994</v>
      </c>
      <c r="G23" s="103"/>
      <c r="H23" s="103"/>
      <c r="I23" s="108">
        <f t="shared" si="8"/>
        <v>8786.398399999998</v>
      </c>
      <c r="J23" s="103">
        <f>D23*30%</f>
        <v>2534.5379999999996</v>
      </c>
      <c r="K23" s="103">
        <f>I23*30%</f>
        <v>2635.9195199999995</v>
      </c>
      <c r="L23" s="106">
        <f t="shared" si="11"/>
        <v>13956.855919999998</v>
      </c>
      <c r="M23" s="106">
        <f t="shared" si="12"/>
        <v>167482.27103999996</v>
      </c>
    </row>
    <row r="24" spans="1:13" ht="30">
      <c r="A24" s="224" t="s">
        <v>410</v>
      </c>
      <c r="B24" s="103">
        <v>1</v>
      </c>
      <c r="C24" s="103">
        <v>11951.5</v>
      </c>
      <c r="D24" s="103">
        <f t="shared" si="13"/>
        <v>11951.5</v>
      </c>
      <c r="E24" s="103"/>
      <c r="F24" s="225">
        <f t="shared" si="7"/>
        <v>478.06</v>
      </c>
      <c r="G24" s="103"/>
      <c r="H24" s="103"/>
      <c r="I24" s="108">
        <f t="shared" si="8"/>
        <v>12429.56</v>
      </c>
      <c r="J24" s="103">
        <f>D24*30%</f>
        <v>3585.45</v>
      </c>
      <c r="K24" s="103">
        <f>I24*30%</f>
        <v>3728.8679999999995</v>
      </c>
      <c r="L24" s="106">
        <f t="shared" si="11"/>
        <v>19743.877999999997</v>
      </c>
      <c r="M24" s="106">
        <f t="shared" si="12"/>
        <v>236926.53599999996</v>
      </c>
    </row>
    <row r="25" spans="1:13" ht="15">
      <c r="A25" s="224" t="s">
        <v>411</v>
      </c>
      <c r="B25" s="103">
        <v>1</v>
      </c>
      <c r="C25" s="103">
        <v>11951.5</v>
      </c>
      <c r="D25" s="103">
        <f t="shared" si="13"/>
        <v>11951.5</v>
      </c>
      <c r="E25" s="103"/>
      <c r="F25" s="225">
        <f t="shared" si="7"/>
        <v>478.06</v>
      </c>
      <c r="G25" s="103"/>
      <c r="H25" s="103"/>
      <c r="I25" s="108">
        <f t="shared" si="8"/>
        <v>12429.56</v>
      </c>
      <c r="J25" s="103">
        <f>D25*30%</f>
        <v>3585.45</v>
      </c>
      <c r="K25" s="103">
        <f>I25*30%</f>
        <v>3728.8679999999995</v>
      </c>
      <c r="L25" s="106">
        <f t="shared" si="11"/>
        <v>19743.877999999997</v>
      </c>
      <c r="M25" s="106">
        <f t="shared" si="12"/>
        <v>236926.53599999996</v>
      </c>
    </row>
    <row r="26" spans="1:15" ht="15">
      <c r="A26" s="104" t="s">
        <v>236</v>
      </c>
      <c r="B26" s="103">
        <f>SUM(B15:B25)</f>
        <v>14</v>
      </c>
      <c r="C26" s="103"/>
      <c r="D26" s="103">
        <f>SUM(D15:D25)</f>
        <v>169793.71</v>
      </c>
      <c r="E26" s="103">
        <f aca="true" t="shared" si="14" ref="E26:L26">SUM(E15:E25)</f>
        <v>0</v>
      </c>
      <c r="F26" s="103">
        <f t="shared" si="14"/>
        <v>6791.7484</v>
      </c>
      <c r="G26" s="103">
        <f t="shared" si="14"/>
        <v>681.1499999999999</v>
      </c>
      <c r="H26" s="103">
        <f t="shared" si="14"/>
        <v>11049.349999999999</v>
      </c>
      <c r="I26" s="103">
        <f t="shared" si="14"/>
        <v>188315.9584</v>
      </c>
      <c r="J26" s="103">
        <f t="shared" si="14"/>
        <v>50938.11299999999</v>
      </c>
      <c r="K26" s="103">
        <f t="shared" si="14"/>
        <v>56494.78752</v>
      </c>
      <c r="L26" s="103">
        <f t="shared" si="14"/>
        <v>295748.85892</v>
      </c>
      <c r="M26" s="103">
        <f>SUM(M15:M25)</f>
        <v>3548986.3070399994</v>
      </c>
      <c r="N26" s="226"/>
      <c r="O26" s="162"/>
    </row>
    <row r="29" spans="1:8" ht="30">
      <c r="A29" s="197" t="s">
        <v>237</v>
      </c>
      <c r="B29" s="105" t="s">
        <v>238</v>
      </c>
      <c r="C29" s="105" t="s">
        <v>239</v>
      </c>
      <c r="D29" s="105" t="s">
        <v>240</v>
      </c>
      <c r="E29" s="105" t="s">
        <v>245</v>
      </c>
      <c r="F29" s="105" t="s">
        <v>246</v>
      </c>
      <c r="G29" s="109" t="s">
        <v>247</v>
      </c>
      <c r="H29" s="109" t="s">
        <v>248</v>
      </c>
    </row>
    <row r="30" spans="1:8" ht="15">
      <c r="A30" s="103" t="s">
        <v>331</v>
      </c>
      <c r="B30" s="103">
        <v>0.5</v>
      </c>
      <c r="C30" s="103">
        <v>48000</v>
      </c>
      <c r="D30" s="103">
        <f>C30*B30</f>
        <v>24000</v>
      </c>
      <c r="E30" s="103">
        <f>D30*30/100</f>
        <v>7200</v>
      </c>
      <c r="F30" s="103">
        <f>D30*30/100</f>
        <v>7200</v>
      </c>
      <c r="G30" s="103">
        <f>SUM(D30:F30)</f>
        <v>38400</v>
      </c>
      <c r="H30" s="103">
        <f>G30*12</f>
        <v>460800</v>
      </c>
    </row>
    <row r="31" spans="1:8" ht="15">
      <c r="A31" s="103" t="s">
        <v>332</v>
      </c>
      <c r="B31" s="103">
        <v>0.5</v>
      </c>
      <c r="C31" s="103">
        <v>36800</v>
      </c>
      <c r="D31" s="103">
        <f aca="true" t="shared" si="15" ref="D31:D37">C31*B31</f>
        <v>18400</v>
      </c>
      <c r="E31" s="103">
        <f aca="true" t="shared" si="16" ref="E31:E37">D31*30/100</f>
        <v>5520</v>
      </c>
      <c r="F31" s="103">
        <f aca="true" t="shared" si="17" ref="F31:F37">D31*30/100</f>
        <v>5520</v>
      </c>
      <c r="G31" s="103">
        <f aca="true" t="shared" si="18" ref="G31:G37">SUM(D31:F31)</f>
        <v>29440</v>
      </c>
      <c r="H31" s="103">
        <f aca="true" t="shared" si="19" ref="H31:H37">G31*12</f>
        <v>353280</v>
      </c>
    </row>
    <row r="32" spans="1:8" ht="15">
      <c r="A32" s="103" t="s">
        <v>333</v>
      </c>
      <c r="B32" s="103">
        <v>0.5</v>
      </c>
      <c r="C32" s="103">
        <v>36800</v>
      </c>
      <c r="D32" s="103">
        <f t="shared" si="15"/>
        <v>18400</v>
      </c>
      <c r="E32" s="103">
        <f t="shared" si="16"/>
        <v>5520</v>
      </c>
      <c r="F32" s="103">
        <f t="shared" si="17"/>
        <v>5520</v>
      </c>
      <c r="G32" s="103">
        <f t="shared" si="18"/>
        <v>29440</v>
      </c>
      <c r="H32" s="103">
        <f t="shared" si="19"/>
        <v>353280</v>
      </c>
    </row>
    <row r="33" spans="1:8" ht="15">
      <c r="A33" s="103" t="s">
        <v>412</v>
      </c>
      <c r="B33" s="103">
        <v>0.5</v>
      </c>
      <c r="C33" s="103">
        <v>14400</v>
      </c>
      <c r="D33" s="103">
        <f t="shared" si="15"/>
        <v>7200</v>
      </c>
      <c r="E33" s="103">
        <f t="shared" si="16"/>
        <v>2160</v>
      </c>
      <c r="F33" s="103">
        <f t="shared" si="17"/>
        <v>2160</v>
      </c>
      <c r="G33" s="103">
        <f t="shared" si="18"/>
        <v>11520</v>
      </c>
      <c r="H33" s="103">
        <f t="shared" si="19"/>
        <v>138240</v>
      </c>
    </row>
    <row r="34" spans="1:8" ht="15">
      <c r="A34" s="103" t="s">
        <v>413</v>
      </c>
      <c r="B34" s="103">
        <v>0.5</v>
      </c>
      <c r="C34" s="103">
        <v>19200</v>
      </c>
      <c r="D34" s="103">
        <f t="shared" si="15"/>
        <v>9600</v>
      </c>
      <c r="E34" s="103">
        <f t="shared" si="16"/>
        <v>2880</v>
      </c>
      <c r="F34" s="103">
        <f t="shared" si="17"/>
        <v>2880</v>
      </c>
      <c r="G34" s="103">
        <f t="shared" si="18"/>
        <v>15360</v>
      </c>
      <c r="H34" s="103">
        <f t="shared" si="19"/>
        <v>184320</v>
      </c>
    </row>
    <row r="35" spans="1:8" ht="15">
      <c r="A35" s="103" t="s">
        <v>414</v>
      </c>
      <c r="B35" s="103">
        <v>0.5</v>
      </c>
      <c r="C35" s="103">
        <v>19200</v>
      </c>
      <c r="D35" s="103">
        <f t="shared" si="15"/>
        <v>9600</v>
      </c>
      <c r="E35" s="103">
        <f t="shared" si="16"/>
        <v>2880</v>
      </c>
      <c r="F35" s="103">
        <f t="shared" si="17"/>
        <v>2880</v>
      </c>
      <c r="G35" s="103">
        <f t="shared" si="18"/>
        <v>15360</v>
      </c>
      <c r="H35" s="103">
        <f t="shared" si="19"/>
        <v>184320</v>
      </c>
    </row>
    <row r="36" spans="1:9" ht="15">
      <c r="A36" s="104" t="s">
        <v>415</v>
      </c>
      <c r="B36" s="103">
        <v>0.5</v>
      </c>
      <c r="C36" s="103">
        <v>21600</v>
      </c>
      <c r="D36" s="103">
        <f t="shared" si="15"/>
        <v>10800</v>
      </c>
      <c r="E36" s="103">
        <f t="shared" si="16"/>
        <v>3240</v>
      </c>
      <c r="F36" s="103">
        <f t="shared" si="17"/>
        <v>3240</v>
      </c>
      <c r="G36" s="103">
        <f t="shared" si="18"/>
        <v>17280</v>
      </c>
      <c r="H36" s="103">
        <f t="shared" si="19"/>
        <v>207360</v>
      </c>
      <c r="I36">
        <f>SUM(H30:H36)</f>
        <v>1881600</v>
      </c>
    </row>
    <row r="37" spans="1:8" ht="15">
      <c r="A37" s="104" t="s">
        <v>334</v>
      </c>
      <c r="B37" s="103">
        <v>1</v>
      </c>
      <c r="C37" s="103">
        <v>13600</v>
      </c>
      <c r="D37" s="103">
        <f t="shared" si="15"/>
        <v>13600</v>
      </c>
      <c r="E37" s="103">
        <f t="shared" si="16"/>
        <v>4080</v>
      </c>
      <c r="F37" s="103">
        <f t="shared" si="17"/>
        <v>4080</v>
      </c>
      <c r="G37" s="103">
        <f t="shared" si="18"/>
        <v>21760</v>
      </c>
      <c r="H37" s="103">
        <f t="shared" si="19"/>
        <v>261120</v>
      </c>
    </row>
    <row r="38" spans="1:8" ht="15">
      <c r="A38" s="103" t="s">
        <v>335</v>
      </c>
      <c r="B38" s="103">
        <f>SUM(B30:B37)</f>
        <v>4.5</v>
      </c>
      <c r="C38" s="103">
        <f aca="true" t="shared" si="20" ref="C38:H38">SUM(C30:C37)</f>
        <v>209600</v>
      </c>
      <c r="D38" s="103">
        <f t="shared" si="20"/>
        <v>111600</v>
      </c>
      <c r="E38" s="103">
        <f t="shared" si="20"/>
        <v>33480</v>
      </c>
      <c r="F38" s="103">
        <f t="shared" si="20"/>
        <v>33480</v>
      </c>
      <c r="G38" s="103">
        <f t="shared" si="20"/>
        <v>178560</v>
      </c>
      <c r="H38" s="103">
        <f t="shared" si="20"/>
        <v>2142720</v>
      </c>
    </row>
    <row r="40" spans="2:8" ht="15">
      <c r="B40">
        <f>SUM(B38,B26,B11)</f>
        <v>23.5</v>
      </c>
      <c r="E40">
        <f>H40/B40/12</f>
        <v>25286.104904680848</v>
      </c>
      <c r="H40">
        <f>SUM(H38,M26,M11)</f>
        <v>7130681.58312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70"/>
  <sheetViews>
    <sheetView zoomScalePageLayoutView="0" workbookViewId="0" topLeftCell="A4">
      <pane xSplit="2" ySplit="1" topLeftCell="C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K65" sqref="K65"/>
    </sheetView>
  </sheetViews>
  <sheetFormatPr defaultColWidth="9.140625" defaultRowHeight="15"/>
  <cols>
    <col min="1" max="1" width="22.28125" style="112" customWidth="1"/>
    <col min="2" max="2" width="9.140625" style="112" customWidth="1"/>
    <col min="3" max="3" width="31.421875" style="112" customWidth="1"/>
    <col min="4" max="7" width="9.140625" style="112" customWidth="1"/>
    <col min="8" max="8" width="10.57421875" style="112" bestFit="1" customWidth="1"/>
    <col min="9" max="9" width="9.57421875" style="112" bestFit="1" customWidth="1"/>
    <col min="10" max="16384" width="9.140625" style="112" customWidth="1"/>
  </cols>
  <sheetData>
    <row r="4" spans="1:8" ht="75.75" thickBot="1">
      <c r="A4" s="110" t="s">
        <v>237</v>
      </c>
      <c r="B4" s="111" t="s">
        <v>238</v>
      </c>
      <c r="C4" s="110" t="s">
        <v>251</v>
      </c>
      <c r="D4" s="110" t="s">
        <v>252</v>
      </c>
      <c r="E4" s="110" t="s">
        <v>253</v>
      </c>
      <c r="F4" s="110" t="s">
        <v>254</v>
      </c>
      <c r="G4" s="110" t="s">
        <v>255</v>
      </c>
      <c r="H4" s="110" t="s">
        <v>256</v>
      </c>
    </row>
    <row r="5" spans="1:8" ht="54" customHeight="1" thickBot="1">
      <c r="A5" s="312" t="s">
        <v>398</v>
      </c>
      <c r="B5" s="314">
        <v>0.5</v>
      </c>
      <c r="C5" s="113" t="s">
        <v>416</v>
      </c>
      <c r="D5" s="113">
        <v>12</v>
      </c>
      <c r="E5" s="113">
        <v>1</v>
      </c>
      <c r="F5" s="231">
        <f aca="true" t="shared" si="0" ref="F5:F11">G5*1.2</f>
        <v>2217.804</v>
      </c>
      <c r="G5" s="113">
        <v>1848.17</v>
      </c>
      <c r="H5" s="114">
        <f aca="true" t="shared" si="1" ref="H5:H18">E5*G5</f>
        <v>1848.17</v>
      </c>
    </row>
    <row r="6" spans="1:8" ht="30.75" thickBot="1">
      <c r="A6" s="313"/>
      <c r="B6" s="315"/>
      <c r="C6" s="115" t="s">
        <v>417</v>
      </c>
      <c r="D6" s="115">
        <v>3</v>
      </c>
      <c r="E6" s="115">
        <v>4</v>
      </c>
      <c r="F6" s="231">
        <f t="shared" si="0"/>
        <v>28.536</v>
      </c>
      <c r="G6" s="115">
        <v>23.78</v>
      </c>
      <c r="H6" s="114">
        <f t="shared" si="1"/>
        <v>95.12</v>
      </c>
    </row>
    <row r="7" spans="1:8" ht="30.75" thickBot="1">
      <c r="A7" s="313"/>
      <c r="B7" s="315"/>
      <c r="C7" s="115" t="s">
        <v>259</v>
      </c>
      <c r="D7" s="115" t="s">
        <v>257</v>
      </c>
      <c r="E7" s="115">
        <v>1</v>
      </c>
      <c r="F7" s="231">
        <f t="shared" si="0"/>
        <v>266.124</v>
      </c>
      <c r="G7" s="115">
        <v>221.77</v>
      </c>
      <c r="H7" s="114">
        <f t="shared" si="1"/>
        <v>221.77</v>
      </c>
    </row>
    <row r="8" spans="1:8" ht="45.75" thickBot="1">
      <c r="A8" s="313"/>
      <c r="B8" s="315"/>
      <c r="C8" s="115" t="s">
        <v>418</v>
      </c>
      <c r="D8" s="115" t="s">
        <v>257</v>
      </c>
      <c r="E8" s="115">
        <v>1</v>
      </c>
      <c r="F8" s="231">
        <f t="shared" si="0"/>
        <v>338.268</v>
      </c>
      <c r="G8" s="115">
        <v>281.89</v>
      </c>
      <c r="H8" s="114">
        <f t="shared" si="1"/>
        <v>281.89</v>
      </c>
    </row>
    <row r="9" spans="1:8" ht="60.75" thickBot="1">
      <c r="A9" s="313"/>
      <c r="B9" s="315"/>
      <c r="C9" s="115" t="s">
        <v>419</v>
      </c>
      <c r="D9" s="115">
        <v>24</v>
      </c>
      <c r="E9" s="115">
        <v>0.5</v>
      </c>
      <c r="F9" s="231">
        <f t="shared" si="0"/>
        <v>4137.864</v>
      </c>
      <c r="G9" s="115">
        <v>3448.22</v>
      </c>
      <c r="H9" s="114">
        <f t="shared" si="1"/>
        <v>1724.11</v>
      </c>
    </row>
    <row r="10" spans="1:8" ht="30.75" thickBot="1">
      <c r="A10" s="313"/>
      <c r="B10" s="315"/>
      <c r="C10" s="115" t="s">
        <v>420</v>
      </c>
      <c r="D10" s="115">
        <v>30</v>
      </c>
      <c r="E10" s="115">
        <v>0.4</v>
      </c>
      <c r="F10" s="231">
        <f t="shared" si="0"/>
        <v>2514.468</v>
      </c>
      <c r="G10" s="115">
        <v>2095.39</v>
      </c>
      <c r="H10" s="114">
        <f t="shared" si="1"/>
        <v>838.156</v>
      </c>
    </row>
    <row r="11" spans="1:8" ht="45.75" thickBot="1">
      <c r="A11" s="318" t="s">
        <v>421</v>
      </c>
      <c r="B11" s="314">
        <v>1.5</v>
      </c>
      <c r="C11" s="113" t="s">
        <v>416</v>
      </c>
      <c r="D11" s="113">
        <v>12</v>
      </c>
      <c r="E11" s="113">
        <v>1.5</v>
      </c>
      <c r="F11" s="231">
        <f t="shared" si="0"/>
        <v>2217.804</v>
      </c>
      <c r="G11" s="113">
        <v>1848.17</v>
      </c>
      <c r="H11" s="114">
        <f t="shared" si="1"/>
        <v>2772.255</v>
      </c>
    </row>
    <row r="12" spans="1:8" ht="30.75" thickBot="1">
      <c r="A12" s="319"/>
      <c r="B12" s="315"/>
      <c r="C12" s="115" t="s">
        <v>422</v>
      </c>
      <c r="D12" s="115" t="s">
        <v>424</v>
      </c>
      <c r="E12" s="115">
        <v>1.5</v>
      </c>
      <c r="F12" s="231">
        <f aca="true" t="shared" si="2" ref="F12:F68">G12*1.2</f>
        <v>672.804</v>
      </c>
      <c r="G12" s="115">
        <v>560.67</v>
      </c>
      <c r="H12" s="114">
        <f t="shared" si="1"/>
        <v>841.0049999999999</v>
      </c>
    </row>
    <row r="13" spans="1:8" ht="30.75" thickBot="1">
      <c r="A13" s="319"/>
      <c r="B13" s="315"/>
      <c r="C13" s="115" t="s">
        <v>417</v>
      </c>
      <c r="D13" s="115">
        <v>1</v>
      </c>
      <c r="E13" s="115">
        <v>18</v>
      </c>
      <c r="F13" s="231">
        <f t="shared" si="2"/>
        <v>28.536</v>
      </c>
      <c r="G13" s="115">
        <v>23.78</v>
      </c>
      <c r="H13" s="114">
        <f t="shared" si="1"/>
        <v>428.04</v>
      </c>
    </row>
    <row r="14" spans="1:8" ht="30.75" thickBot="1">
      <c r="A14" s="319"/>
      <c r="B14" s="315"/>
      <c r="C14" s="115" t="s">
        <v>423</v>
      </c>
      <c r="D14" s="115">
        <v>1</v>
      </c>
      <c r="E14" s="115">
        <v>18</v>
      </c>
      <c r="F14" s="231">
        <f t="shared" si="2"/>
        <v>163.06799999999998</v>
      </c>
      <c r="G14" s="115">
        <v>135.89</v>
      </c>
      <c r="H14" s="114">
        <f t="shared" si="1"/>
        <v>2446.0199999999995</v>
      </c>
    </row>
    <row r="15" spans="1:8" ht="30.75" thickBot="1">
      <c r="A15" s="319"/>
      <c r="B15" s="315"/>
      <c r="C15" s="115" t="s">
        <v>259</v>
      </c>
      <c r="D15" s="115" t="s">
        <v>257</v>
      </c>
      <c r="E15" s="115">
        <v>1.5</v>
      </c>
      <c r="F15" s="231">
        <f t="shared" si="2"/>
        <v>266.124</v>
      </c>
      <c r="G15" s="115">
        <v>221.77</v>
      </c>
      <c r="H15" s="114">
        <f t="shared" si="1"/>
        <v>332.65500000000003</v>
      </c>
    </row>
    <row r="16" spans="1:8" ht="45.75" thickBot="1">
      <c r="A16" s="319"/>
      <c r="B16" s="315"/>
      <c r="C16" s="115" t="s">
        <v>418</v>
      </c>
      <c r="D16" s="115" t="s">
        <v>257</v>
      </c>
      <c r="E16" s="115">
        <v>1.5</v>
      </c>
      <c r="F16" s="231">
        <f t="shared" si="2"/>
        <v>338.268</v>
      </c>
      <c r="G16" s="115">
        <v>281.89</v>
      </c>
      <c r="H16" s="114">
        <f t="shared" si="1"/>
        <v>422.835</v>
      </c>
    </row>
    <row r="17" spans="1:8" ht="60.75" thickBot="1">
      <c r="A17" s="319"/>
      <c r="B17" s="315"/>
      <c r="C17" s="115" t="s">
        <v>419</v>
      </c>
      <c r="D17" s="115">
        <v>24</v>
      </c>
      <c r="E17" s="115">
        <v>0.75</v>
      </c>
      <c r="F17" s="231">
        <f t="shared" si="2"/>
        <v>4137.864</v>
      </c>
      <c r="G17" s="115">
        <v>3448.22</v>
      </c>
      <c r="H17" s="114">
        <f t="shared" si="1"/>
        <v>2586.165</v>
      </c>
    </row>
    <row r="18" spans="1:8" ht="30.75" thickBot="1">
      <c r="A18" s="320"/>
      <c r="B18" s="317"/>
      <c r="C18" s="116" t="s">
        <v>420</v>
      </c>
      <c r="D18" s="116">
        <v>30</v>
      </c>
      <c r="E18" s="116">
        <v>0.4</v>
      </c>
      <c r="F18" s="231">
        <f t="shared" si="2"/>
        <v>2514.468</v>
      </c>
      <c r="G18" s="115">
        <v>2095.39</v>
      </c>
      <c r="H18" s="114">
        <f t="shared" si="1"/>
        <v>838.156</v>
      </c>
    </row>
    <row r="19" spans="1:8" ht="54" customHeight="1" thickBot="1">
      <c r="A19" s="312" t="s">
        <v>427</v>
      </c>
      <c r="B19" s="314">
        <v>2</v>
      </c>
      <c r="C19" s="113" t="s">
        <v>416</v>
      </c>
      <c r="D19" s="113">
        <v>12</v>
      </c>
      <c r="E19" s="113">
        <v>2</v>
      </c>
      <c r="F19" s="231">
        <f t="shared" si="2"/>
        <v>2217.804</v>
      </c>
      <c r="G19" s="113">
        <v>1848.17</v>
      </c>
      <c r="H19" s="114">
        <f aca="true" t="shared" si="3" ref="H19:H24">E19*G19</f>
        <v>3696.34</v>
      </c>
    </row>
    <row r="20" spans="1:8" ht="30.75" thickBot="1">
      <c r="A20" s="313"/>
      <c r="B20" s="315"/>
      <c r="C20" s="115" t="s">
        <v>422</v>
      </c>
      <c r="D20" s="115">
        <v>6</v>
      </c>
      <c r="E20" s="115">
        <v>4</v>
      </c>
      <c r="F20" s="231">
        <f t="shared" si="2"/>
        <v>672.804</v>
      </c>
      <c r="G20" s="115">
        <v>560.67</v>
      </c>
      <c r="H20" s="114">
        <f t="shared" si="3"/>
        <v>2242.68</v>
      </c>
    </row>
    <row r="21" spans="1:8" ht="30.75" thickBot="1">
      <c r="A21" s="313"/>
      <c r="B21" s="315"/>
      <c r="C21" s="115" t="s">
        <v>426</v>
      </c>
      <c r="D21" s="115">
        <v>6</v>
      </c>
      <c r="E21" s="115">
        <v>4</v>
      </c>
      <c r="F21" s="231">
        <f t="shared" si="2"/>
        <v>900.996</v>
      </c>
      <c r="G21" s="115">
        <v>750.83</v>
      </c>
      <c r="H21" s="114">
        <f t="shared" si="3"/>
        <v>3003.32</v>
      </c>
    </row>
    <row r="22" spans="1:8" ht="30.75" thickBot="1">
      <c r="A22" s="313"/>
      <c r="B22" s="315"/>
      <c r="C22" s="115" t="s">
        <v>417</v>
      </c>
      <c r="D22" s="115">
        <v>1</v>
      </c>
      <c r="E22" s="115">
        <v>24</v>
      </c>
      <c r="F22" s="231">
        <f t="shared" si="2"/>
        <v>28.536</v>
      </c>
      <c r="G22" s="115">
        <v>23.78</v>
      </c>
      <c r="H22" s="114">
        <f t="shared" si="3"/>
        <v>570.72</v>
      </c>
    </row>
    <row r="23" spans="1:8" ht="60.75" thickBot="1">
      <c r="A23" s="313"/>
      <c r="B23" s="315"/>
      <c r="C23" s="115" t="s">
        <v>419</v>
      </c>
      <c r="D23" s="115">
        <v>24</v>
      </c>
      <c r="E23" s="115">
        <v>1</v>
      </c>
      <c r="F23" s="231">
        <f t="shared" si="2"/>
        <v>4137.864</v>
      </c>
      <c r="G23" s="115">
        <v>3448.22</v>
      </c>
      <c r="H23" s="114">
        <f t="shared" si="3"/>
        <v>3448.22</v>
      </c>
    </row>
    <row r="24" spans="1:9" ht="30.75" thickBot="1">
      <c r="A24" s="313"/>
      <c r="B24" s="315"/>
      <c r="C24" s="115" t="s">
        <v>420</v>
      </c>
      <c r="D24" s="115">
        <v>30</v>
      </c>
      <c r="E24" s="115">
        <v>0.8</v>
      </c>
      <c r="F24" s="231">
        <f t="shared" si="2"/>
        <v>2514.468</v>
      </c>
      <c r="G24" s="115">
        <v>2095.39</v>
      </c>
      <c r="H24" s="114">
        <f t="shared" si="3"/>
        <v>1676.312</v>
      </c>
      <c r="I24" s="112">
        <f>SUM(H19:H24)</f>
        <v>14637.591999999999</v>
      </c>
    </row>
    <row r="25" spans="1:8" ht="30" customHeight="1" thickBot="1">
      <c r="A25" s="312" t="s">
        <v>425</v>
      </c>
      <c r="B25" s="314">
        <v>9</v>
      </c>
      <c r="C25" s="113" t="s">
        <v>416</v>
      </c>
      <c r="D25" s="113">
        <v>12</v>
      </c>
      <c r="E25" s="113">
        <v>9</v>
      </c>
      <c r="F25" s="231">
        <f t="shared" si="2"/>
        <v>2217.804</v>
      </c>
      <c r="G25" s="113">
        <v>1848.17</v>
      </c>
      <c r="H25" s="114">
        <f>E25*G25</f>
        <v>16633.53</v>
      </c>
    </row>
    <row r="26" spans="1:8" ht="30.75" thickBot="1">
      <c r="A26" s="313"/>
      <c r="B26" s="315"/>
      <c r="C26" s="115" t="s">
        <v>422</v>
      </c>
      <c r="D26" s="115">
        <v>6</v>
      </c>
      <c r="E26" s="115">
        <v>18</v>
      </c>
      <c r="F26" s="231">
        <f t="shared" si="2"/>
        <v>672.804</v>
      </c>
      <c r="G26" s="115">
        <v>560.67</v>
      </c>
      <c r="H26" s="114">
        <f aca="true" t="shared" si="4" ref="H26:H50">E26*G26</f>
        <v>10092.06</v>
      </c>
    </row>
    <row r="27" spans="1:8" ht="30.75" thickBot="1">
      <c r="A27" s="313"/>
      <c r="B27" s="315"/>
      <c r="C27" s="115" t="s">
        <v>426</v>
      </c>
      <c r="D27" s="115">
        <v>6</v>
      </c>
      <c r="E27" s="115">
        <v>18</v>
      </c>
      <c r="F27" s="231">
        <f t="shared" si="2"/>
        <v>900.996</v>
      </c>
      <c r="G27" s="115">
        <v>750.83</v>
      </c>
      <c r="H27" s="114">
        <f t="shared" si="4"/>
        <v>13514.94</v>
      </c>
    </row>
    <row r="28" spans="1:8" ht="30.75" thickBot="1">
      <c r="A28" s="313"/>
      <c r="B28" s="315"/>
      <c r="C28" s="115" t="s">
        <v>417</v>
      </c>
      <c r="D28" s="115">
        <v>1</v>
      </c>
      <c r="E28" s="115">
        <v>108</v>
      </c>
      <c r="F28" s="231">
        <f t="shared" si="2"/>
        <v>28.536</v>
      </c>
      <c r="G28" s="115">
        <v>23.78</v>
      </c>
      <c r="H28" s="114">
        <f t="shared" si="4"/>
        <v>2568.2400000000002</v>
      </c>
    </row>
    <row r="29" spans="1:8" ht="30.75" thickBot="1">
      <c r="A29" s="313"/>
      <c r="B29" s="315"/>
      <c r="C29" s="115" t="s">
        <v>423</v>
      </c>
      <c r="D29" s="115">
        <v>1</v>
      </c>
      <c r="E29" s="115">
        <v>108</v>
      </c>
      <c r="F29" s="231">
        <f t="shared" si="2"/>
        <v>163.06799999999998</v>
      </c>
      <c r="G29" s="115">
        <v>135.89</v>
      </c>
      <c r="H29" s="114">
        <f t="shared" si="4"/>
        <v>14676.119999999999</v>
      </c>
    </row>
    <row r="30" spans="1:8" ht="30.75" thickBot="1">
      <c r="A30" s="313"/>
      <c r="B30" s="315"/>
      <c r="C30" s="115" t="s">
        <v>259</v>
      </c>
      <c r="D30" s="115" t="s">
        <v>257</v>
      </c>
      <c r="E30" s="115">
        <v>9</v>
      </c>
      <c r="F30" s="231">
        <f t="shared" si="2"/>
        <v>266.124</v>
      </c>
      <c r="G30" s="115">
        <v>221.77</v>
      </c>
      <c r="H30" s="114">
        <f t="shared" si="4"/>
        <v>1995.93</v>
      </c>
    </row>
    <row r="31" spans="1:8" ht="45.75" thickBot="1">
      <c r="A31" s="313"/>
      <c r="B31" s="315"/>
      <c r="C31" s="115" t="s">
        <v>418</v>
      </c>
      <c r="D31" s="115" t="s">
        <v>257</v>
      </c>
      <c r="E31" s="115">
        <v>9</v>
      </c>
      <c r="F31" s="231">
        <f t="shared" si="2"/>
        <v>338.268</v>
      </c>
      <c r="G31" s="115">
        <v>281.89</v>
      </c>
      <c r="H31" s="114">
        <f t="shared" si="4"/>
        <v>2537.0099999999998</v>
      </c>
    </row>
    <row r="32" spans="1:8" ht="60.75" thickBot="1">
      <c r="A32" s="313"/>
      <c r="B32" s="315"/>
      <c r="C32" s="115" t="s">
        <v>419</v>
      </c>
      <c r="D32" s="115">
        <v>24</v>
      </c>
      <c r="E32" s="115">
        <v>4.5</v>
      </c>
      <c r="F32" s="231">
        <f t="shared" si="2"/>
        <v>4137.864</v>
      </c>
      <c r="G32" s="115">
        <v>3448.22</v>
      </c>
      <c r="H32" s="114">
        <f t="shared" si="4"/>
        <v>15516.99</v>
      </c>
    </row>
    <row r="33" spans="1:8" ht="30.75" thickBot="1">
      <c r="A33" s="316"/>
      <c r="B33" s="317"/>
      <c r="C33" s="116" t="s">
        <v>420</v>
      </c>
      <c r="D33" s="116">
        <v>30</v>
      </c>
      <c r="E33" s="116">
        <v>3.6</v>
      </c>
      <c r="F33" s="231">
        <f t="shared" si="2"/>
        <v>2514.468</v>
      </c>
      <c r="G33" s="115">
        <v>2095.39</v>
      </c>
      <c r="H33" s="114">
        <f t="shared" si="4"/>
        <v>7543.4039999999995</v>
      </c>
    </row>
    <row r="34" spans="1:8" ht="45.75" thickBot="1">
      <c r="A34" s="312" t="s">
        <v>407</v>
      </c>
      <c r="B34" s="314">
        <v>3</v>
      </c>
      <c r="C34" s="113" t="s">
        <v>416</v>
      </c>
      <c r="D34" s="113">
        <v>12</v>
      </c>
      <c r="E34" s="113">
        <v>3</v>
      </c>
      <c r="F34" s="231">
        <f t="shared" si="2"/>
        <v>2217.804</v>
      </c>
      <c r="G34" s="113">
        <v>1848.17</v>
      </c>
      <c r="H34" s="114">
        <f t="shared" si="4"/>
        <v>5544.51</v>
      </c>
    </row>
    <row r="35" spans="1:8" ht="30.75" thickBot="1">
      <c r="A35" s="313"/>
      <c r="B35" s="315"/>
      <c r="C35" s="118" t="s">
        <v>426</v>
      </c>
      <c r="D35" s="118">
        <v>6</v>
      </c>
      <c r="E35" s="118">
        <v>6</v>
      </c>
      <c r="F35" s="231">
        <f t="shared" si="2"/>
        <v>900.996</v>
      </c>
      <c r="G35" s="115">
        <v>750.83</v>
      </c>
      <c r="H35" s="114">
        <f t="shared" si="4"/>
        <v>4504.9800000000005</v>
      </c>
    </row>
    <row r="36" spans="1:8" ht="30.75" thickBot="1">
      <c r="A36" s="313"/>
      <c r="B36" s="315"/>
      <c r="C36" s="115" t="s">
        <v>417</v>
      </c>
      <c r="D36" s="118">
        <v>1</v>
      </c>
      <c r="E36" s="118">
        <v>36</v>
      </c>
      <c r="F36" s="231">
        <f t="shared" si="2"/>
        <v>28.536</v>
      </c>
      <c r="G36" s="115">
        <v>23.78</v>
      </c>
      <c r="H36" s="114">
        <f t="shared" si="4"/>
        <v>856.08</v>
      </c>
    </row>
    <row r="37" spans="1:8" ht="30.75" thickBot="1">
      <c r="A37" s="313"/>
      <c r="B37" s="315"/>
      <c r="C37" s="115" t="s">
        <v>428</v>
      </c>
      <c r="D37" s="118" t="s">
        <v>424</v>
      </c>
      <c r="E37" s="118">
        <v>3</v>
      </c>
      <c r="F37" s="231">
        <f t="shared" si="2"/>
        <v>1006.6679999999999</v>
      </c>
      <c r="G37" s="118">
        <v>838.89</v>
      </c>
      <c r="H37" s="114">
        <f t="shared" si="4"/>
        <v>2516.67</v>
      </c>
    </row>
    <row r="38" spans="1:8" ht="30.75" thickBot="1">
      <c r="A38" s="313"/>
      <c r="B38" s="315"/>
      <c r="C38" s="115" t="s">
        <v>429</v>
      </c>
      <c r="D38" s="118" t="s">
        <v>424</v>
      </c>
      <c r="E38" s="118">
        <v>3</v>
      </c>
      <c r="F38" s="231">
        <f t="shared" si="2"/>
        <v>390.52799999999996</v>
      </c>
      <c r="G38" s="118">
        <v>325.44</v>
      </c>
      <c r="H38" s="114">
        <f t="shared" si="4"/>
        <v>976.3199999999999</v>
      </c>
    </row>
    <row r="39" spans="1:8" ht="30.75" thickBot="1">
      <c r="A39" s="313"/>
      <c r="B39" s="315"/>
      <c r="C39" s="115" t="s">
        <v>259</v>
      </c>
      <c r="D39" s="115" t="s">
        <v>257</v>
      </c>
      <c r="E39" s="115">
        <v>3</v>
      </c>
      <c r="F39" s="231">
        <f t="shared" si="2"/>
        <v>266.124</v>
      </c>
      <c r="G39" s="115">
        <v>221.77</v>
      </c>
      <c r="H39" s="114">
        <f t="shared" si="4"/>
        <v>665.3100000000001</v>
      </c>
    </row>
    <row r="40" spans="1:8" ht="45.75" thickBot="1">
      <c r="A40" s="313"/>
      <c r="B40" s="315"/>
      <c r="C40" s="115" t="s">
        <v>418</v>
      </c>
      <c r="D40" s="115" t="s">
        <v>257</v>
      </c>
      <c r="E40" s="115">
        <v>3</v>
      </c>
      <c r="F40" s="231">
        <f t="shared" si="2"/>
        <v>338.268</v>
      </c>
      <c r="G40" s="115">
        <v>281.89</v>
      </c>
      <c r="H40" s="114">
        <f t="shared" si="4"/>
        <v>845.67</v>
      </c>
    </row>
    <row r="41" spans="1:8" ht="60.75" thickBot="1">
      <c r="A41" s="313"/>
      <c r="B41" s="315"/>
      <c r="C41" s="115" t="s">
        <v>419</v>
      </c>
      <c r="D41" s="115">
        <v>24</v>
      </c>
      <c r="E41" s="115">
        <v>1.5</v>
      </c>
      <c r="F41" s="231">
        <f t="shared" si="2"/>
        <v>4137.864</v>
      </c>
      <c r="G41" s="115">
        <v>3448.22</v>
      </c>
      <c r="H41" s="114">
        <f t="shared" si="4"/>
        <v>5172.33</v>
      </c>
    </row>
    <row r="42" spans="1:8" ht="30.75" thickBot="1">
      <c r="A42" s="313"/>
      <c r="B42" s="315"/>
      <c r="C42" s="110" t="s">
        <v>420</v>
      </c>
      <c r="D42" s="110">
        <v>30</v>
      </c>
      <c r="E42" s="110">
        <v>1.5</v>
      </c>
      <c r="F42" s="231">
        <f t="shared" si="2"/>
        <v>2514.468</v>
      </c>
      <c r="G42" s="115">
        <v>2095.39</v>
      </c>
      <c r="H42" s="229">
        <f t="shared" si="4"/>
        <v>3143.085</v>
      </c>
    </row>
    <row r="43" spans="1:8" ht="45.75" thickBot="1">
      <c r="A43" s="306" t="s">
        <v>430</v>
      </c>
      <c r="B43" s="309">
        <v>0.5</v>
      </c>
      <c r="C43" s="113" t="s">
        <v>416</v>
      </c>
      <c r="D43" s="113">
        <v>12</v>
      </c>
      <c r="E43" s="113">
        <v>1</v>
      </c>
      <c r="F43" s="231">
        <f t="shared" si="2"/>
        <v>2217.804</v>
      </c>
      <c r="G43" s="113">
        <v>1848.17</v>
      </c>
      <c r="H43" s="114">
        <f t="shared" si="4"/>
        <v>1848.17</v>
      </c>
    </row>
    <row r="44" spans="1:8" ht="30.75" thickBot="1">
      <c r="A44" s="307"/>
      <c r="B44" s="310"/>
      <c r="C44" s="115" t="s">
        <v>426</v>
      </c>
      <c r="D44" s="115">
        <v>24</v>
      </c>
      <c r="E44" s="115">
        <v>0.5</v>
      </c>
      <c r="F44" s="231">
        <f t="shared" si="2"/>
        <v>900.996</v>
      </c>
      <c r="G44" s="115">
        <v>750.83</v>
      </c>
      <c r="H44" s="227">
        <f t="shared" si="4"/>
        <v>375.415</v>
      </c>
    </row>
    <row r="45" spans="1:8" ht="30.75" thickBot="1">
      <c r="A45" s="307"/>
      <c r="B45" s="310"/>
      <c r="C45" s="115" t="s">
        <v>417</v>
      </c>
      <c r="D45" s="115">
        <v>1</v>
      </c>
      <c r="E45" s="115">
        <v>6</v>
      </c>
      <c r="F45" s="231">
        <f t="shared" si="2"/>
        <v>28.536</v>
      </c>
      <c r="G45" s="115">
        <v>23.78</v>
      </c>
      <c r="H45" s="227">
        <f t="shared" si="4"/>
        <v>142.68</v>
      </c>
    </row>
    <row r="46" spans="1:8" ht="30.75" thickBot="1">
      <c r="A46" s="307"/>
      <c r="B46" s="310"/>
      <c r="C46" s="115" t="s">
        <v>428</v>
      </c>
      <c r="D46" s="115" t="s">
        <v>424</v>
      </c>
      <c r="E46" s="115">
        <v>1</v>
      </c>
      <c r="F46" s="231">
        <f t="shared" si="2"/>
        <v>1006.6679999999999</v>
      </c>
      <c r="G46" s="118">
        <v>838.89</v>
      </c>
      <c r="H46" s="227">
        <f t="shared" si="4"/>
        <v>838.89</v>
      </c>
    </row>
    <row r="47" spans="1:8" ht="30.75" thickBot="1">
      <c r="A47" s="307"/>
      <c r="B47" s="310"/>
      <c r="C47" s="115" t="s">
        <v>429</v>
      </c>
      <c r="D47" s="115" t="s">
        <v>424</v>
      </c>
      <c r="E47" s="115">
        <v>1</v>
      </c>
      <c r="F47" s="231">
        <f t="shared" si="2"/>
        <v>390.52799999999996</v>
      </c>
      <c r="G47" s="118">
        <v>325.44</v>
      </c>
      <c r="H47" s="227">
        <f t="shared" si="4"/>
        <v>325.44</v>
      </c>
    </row>
    <row r="48" spans="1:8" ht="30.75" thickBot="1">
      <c r="A48" s="307"/>
      <c r="B48" s="310"/>
      <c r="C48" s="115" t="s">
        <v>259</v>
      </c>
      <c r="D48" s="115" t="s">
        <v>424</v>
      </c>
      <c r="E48" s="115">
        <v>1</v>
      </c>
      <c r="F48" s="231">
        <f t="shared" si="2"/>
        <v>266.124</v>
      </c>
      <c r="G48" s="115">
        <v>221.77</v>
      </c>
      <c r="H48" s="227">
        <f t="shared" si="4"/>
        <v>221.77</v>
      </c>
    </row>
    <row r="49" spans="1:8" ht="45.75" thickBot="1">
      <c r="A49" s="307"/>
      <c r="B49" s="310"/>
      <c r="C49" s="115" t="s">
        <v>418</v>
      </c>
      <c r="D49" s="115" t="s">
        <v>257</v>
      </c>
      <c r="E49" s="115">
        <v>1</v>
      </c>
      <c r="F49" s="231">
        <f t="shared" si="2"/>
        <v>338.268</v>
      </c>
      <c r="G49" s="115">
        <v>281.89</v>
      </c>
      <c r="H49" s="227">
        <f t="shared" si="4"/>
        <v>281.89</v>
      </c>
    </row>
    <row r="50" spans="1:8" ht="60.75" thickBot="1">
      <c r="A50" s="307"/>
      <c r="B50" s="310"/>
      <c r="C50" s="115" t="s">
        <v>419</v>
      </c>
      <c r="D50" s="115">
        <v>24</v>
      </c>
      <c r="E50" s="115">
        <v>0.5</v>
      </c>
      <c r="F50" s="231">
        <f t="shared" si="2"/>
        <v>4137.864</v>
      </c>
      <c r="G50" s="115">
        <v>3448.22</v>
      </c>
      <c r="H50" s="227">
        <f t="shared" si="4"/>
        <v>1724.11</v>
      </c>
    </row>
    <row r="51" spans="1:8" ht="30.75" thickBot="1">
      <c r="A51" s="308"/>
      <c r="B51" s="311"/>
      <c r="C51" s="116" t="s">
        <v>420</v>
      </c>
      <c r="D51" s="116">
        <v>30</v>
      </c>
      <c r="E51" s="116">
        <v>0.5</v>
      </c>
      <c r="F51" s="231">
        <f t="shared" si="2"/>
        <v>2514.468</v>
      </c>
      <c r="G51" s="115">
        <v>2095.39</v>
      </c>
      <c r="H51" s="228">
        <f aca="true" t="shared" si="5" ref="H51:H59">E51*G51</f>
        <v>1047.695</v>
      </c>
    </row>
    <row r="52" spans="1:8" ht="45.75" thickBot="1">
      <c r="A52" s="306" t="s">
        <v>409</v>
      </c>
      <c r="B52" s="309">
        <v>0.5</v>
      </c>
      <c r="C52" s="113" t="s">
        <v>416</v>
      </c>
      <c r="D52" s="113">
        <v>12</v>
      </c>
      <c r="E52" s="113">
        <v>1</v>
      </c>
      <c r="F52" s="231">
        <f t="shared" si="2"/>
        <v>2217.804</v>
      </c>
      <c r="G52" s="113">
        <v>1848.17</v>
      </c>
      <c r="H52" s="114">
        <f t="shared" si="5"/>
        <v>1848.17</v>
      </c>
    </row>
    <row r="53" spans="1:8" ht="30.75" thickBot="1">
      <c r="A53" s="307"/>
      <c r="B53" s="310"/>
      <c r="C53" s="115" t="s">
        <v>426</v>
      </c>
      <c r="D53" s="115">
        <v>24</v>
      </c>
      <c r="E53" s="115">
        <v>0.5</v>
      </c>
      <c r="F53" s="231">
        <f t="shared" si="2"/>
        <v>900.996</v>
      </c>
      <c r="G53" s="115">
        <v>750.83</v>
      </c>
      <c r="H53" s="227">
        <f t="shared" si="5"/>
        <v>375.415</v>
      </c>
    </row>
    <row r="54" spans="1:8" ht="30.75" thickBot="1">
      <c r="A54" s="307"/>
      <c r="B54" s="310"/>
      <c r="C54" s="115" t="s">
        <v>417</v>
      </c>
      <c r="D54" s="115">
        <v>1</v>
      </c>
      <c r="E54" s="115">
        <v>6</v>
      </c>
      <c r="F54" s="231">
        <f t="shared" si="2"/>
        <v>28.536</v>
      </c>
      <c r="G54" s="115">
        <v>23.78</v>
      </c>
      <c r="H54" s="227">
        <f t="shared" si="5"/>
        <v>142.68</v>
      </c>
    </row>
    <row r="55" spans="1:8" ht="30.75" thickBot="1">
      <c r="A55" s="307"/>
      <c r="B55" s="310"/>
      <c r="C55" s="115" t="s">
        <v>428</v>
      </c>
      <c r="D55" s="115" t="s">
        <v>424</v>
      </c>
      <c r="E55" s="115">
        <v>1</v>
      </c>
      <c r="F55" s="231">
        <f t="shared" si="2"/>
        <v>1006.6679999999999</v>
      </c>
      <c r="G55" s="118">
        <v>838.89</v>
      </c>
      <c r="H55" s="227">
        <f t="shared" si="5"/>
        <v>838.89</v>
      </c>
    </row>
    <row r="56" spans="1:8" ht="30.75" thickBot="1">
      <c r="A56" s="307"/>
      <c r="B56" s="310"/>
      <c r="C56" s="115" t="s">
        <v>429</v>
      </c>
      <c r="D56" s="115" t="s">
        <v>424</v>
      </c>
      <c r="E56" s="115">
        <v>1</v>
      </c>
      <c r="F56" s="231">
        <f t="shared" si="2"/>
        <v>390.52799999999996</v>
      </c>
      <c r="G56" s="118">
        <v>325.44</v>
      </c>
      <c r="H56" s="227">
        <f t="shared" si="5"/>
        <v>325.44</v>
      </c>
    </row>
    <row r="57" spans="1:8" ht="30.75" thickBot="1">
      <c r="A57" s="307"/>
      <c r="B57" s="310"/>
      <c r="C57" s="115" t="s">
        <v>259</v>
      </c>
      <c r="D57" s="115" t="s">
        <v>424</v>
      </c>
      <c r="E57" s="115">
        <v>1</v>
      </c>
      <c r="F57" s="231">
        <f t="shared" si="2"/>
        <v>266.124</v>
      </c>
      <c r="G57" s="115">
        <v>221.77</v>
      </c>
      <c r="H57" s="227">
        <f t="shared" si="5"/>
        <v>221.77</v>
      </c>
    </row>
    <row r="58" spans="1:8" ht="45.75" thickBot="1">
      <c r="A58" s="307"/>
      <c r="B58" s="310"/>
      <c r="C58" s="115" t="s">
        <v>418</v>
      </c>
      <c r="D58" s="115" t="s">
        <v>257</v>
      </c>
      <c r="E58" s="115">
        <v>1</v>
      </c>
      <c r="F58" s="231">
        <f t="shared" si="2"/>
        <v>338.268</v>
      </c>
      <c r="G58" s="115">
        <v>281.89</v>
      </c>
      <c r="H58" s="227">
        <f t="shared" si="5"/>
        <v>281.89</v>
      </c>
    </row>
    <row r="59" spans="1:8" ht="60.75" thickBot="1">
      <c r="A59" s="307"/>
      <c r="B59" s="310"/>
      <c r="C59" s="115" t="s">
        <v>419</v>
      </c>
      <c r="D59" s="115">
        <v>24</v>
      </c>
      <c r="E59" s="115">
        <v>0.5</v>
      </c>
      <c r="F59" s="231">
        <f t="shared" si="2"/>
        <v>4137.864</v>
      </c>
      <c r="G59" s="115">
        <v>3448.22</v>
      </c>
      <c r="H59" s="227">
        <f t="shared" si="5"/>
        <v>1724.11</v>
      </c>
    </row>
    <row r="60" spans="1:8" ht="30.75" thickBot="1">
      <c r="A60" s="308"/>
      <c r="B60" s="311"/>
      <c r="C60" s="116" t="s">
        <v>420</v>
      </c>
      <c r="D60" s="116">
        <v>30</v>
      </c>
      <c r="E60" s="116">
        <v>0.5</v>
      </c>
      <c r="F60" s="231">
        <f t="shared" si="2"/>
        <v>2514.468</v>
      </c>
      <c r="G60" s="115">
        <v>2095.39</v>
      </c>
      <c r="H60" s="228">
        <f aca="true" t="shared" si="6" ref="H60:H67">E60*G60</f>
        <v>1047.695</v>
      </c>
    </row>
    <row r="61" spans="1:8" ht="45.75" thickBot="1">
      <c r="A61" s="306" t="s">
        <v>411</v>
      </c>
      <c r="B61" s="309">
        <v>1</v>
      </c>
      <c r="C61" s="113" t="s">
        <v>416</v>
      </c>
      <c r="D61" s="113">
        <v>12</v>
      </c>
      <c r="E61" s="113">
        <v>1</v>
      </c>
      <c r="F61" s="231">
        <f t="shared" si="2"/>
        <v>2217.804</v>
      </c>
      <c r="G61" s="113">
        <v>1848.17</v>
      </c>
      <c r="H61" s="114">
        <f t="shared" si="6"/>
        <v>1848.17</v>
      </c>
    </row>
    <row r="62" spans="1:8" ht="30.75" thickBot="1">
      <c r="A62" s="307"/>
      <c r="B62" s="310"/>
      <c r="C62" s="115" t="s">
        <v>426</v>
      </c>
      <c r="D62" s="115">
        <v>24</v>
      </c>
      <c r="E62" s="115">
        <v>0.5</v>
      </c>
      <c r="F62" s="231">
        <f t="shared" si="2"/>
        <v>900.996</v>
      </c>
      <c r="G62" s="115">
        <v>750.83</v>
      </c>
      <c r="H62" s="227">
        <f t="shared" si="6"/>
        <v>375.415</v>
      </c>
    </row>
    <row r="63" spans="1:8" ht="30.75" thickBot="1">
      <c r="A63" s="307"/>
      <c r="B63" s="310"/>
      <c r="C63" s="115" t="s">
        <v>417</v>
      </c>
      <c r="D63" s="115">
        <v>1</v>
      </c>
      <c r="E63" s="115">
        <v>12</v>
      </c>
      <c r="F63" s="231">
        <f t="shared" si="2"/>
        <v>28.536</v>
      </c>
      <c r="G63" s="115">
        <v>23.78</v>
      </c>
      <c r="H63" s="227">
        <f t="shared" si="6"/>
        <v>285.36</v>
      </c>
    </row>
    <row r="64" spans="1:8" ht="30.75" thickBot="1">
      <c r="A64" s="307"/>
      <c r="B64" s="310"/>
      <c r="C64" s="115" t="s">
        <v>423</v>
      </c>
      <c r="D64" s="115">
        <v>1</v>
      </c>
      <c r="E64" s="115">
        <v>12</v>
      </c>
      <c r="F64" s="231">
        <f t="shared" si="2"/>
        <v>163.06799999999998</v>
      </c>
      <c r="G64" s="115">
        <v>135.89</v>
      </c>
      <c r="H64" s="227">
        <f t="shared" si="6"/>
        <v>1630.6799999999998</v>
      </c>
    </row>
    <row r="65" spans="1:8" ht="30.75" thickBot="1">
      <c r="A65" s="307"/>
      <c r="B65" s="310"/>
      <c r="C65" s="115" t="s">
        <v>259</v>
      </c>
      <c r="D65" s="115" t="s">
        <v>257</v>
      </c>
      <c r="E65" s="115">
        <v>1</v>
      </c>
      <c r="F65" s="231">
        <f t="shared" si="2"/>
        <v>266.124</v>
      </c>
      <c r="G65" s="115">
        <v>221.77</v>
      </c>
      <c r="H65" s="227">
        <f t="shared" si="6"/>
        <v>221.77</v>
      </c>
    </row>
    <row r="66" spans="1:8" ht="45.75" thickBot="1">
      <c r="A66" s="307"/>
      <c r="B66" s="310"/>
      <c r="C66" s="115" t="s">
        <v>418</v>
      </c>
      <c r="D66" s="115" t="s">
        <v>424</v>
      </c>
      <c r="E66" s="115">
        <v>1</v>
      </c>
      <c r="F66" s="231">
        <f t="shared" si="2"/>
        <v>338.268</v>
      </c>
      <c r="G66" s="115">
        <v>281.89</v>
      </c>
      <c r="H66" s="227">
        <f t="shared" si="6"/>
        <v>281.89</v>
      </c>
    </row>
    <row r="67" spans="1:8" ht="60.75" thickBot="1">
      <c r="A67" s="307"/>
      <c r="B67" s="310"/>
      <c r="C67" s="115" t="s">
        <v>419</v>
      </c>
      <c r="D67" s="115">
        <v>24</v>
      </c>
      <c r="E67" s="115">
        <v>0.5</v>
      </c>
      <c r="F67" s="231">
        <f t="shared" si="2"/>
        <v>4137.864</v>
      </c>
      <c r="G67" s="115">
        <v>3448.22</v>
      </c>
      <c r="H67" s="227">
        <f t="shared" si="6"/>
        <v>1724.11</v>
      </c>
    </row>
    <row r="68" spans="1:8" ht="30.75" thickBot="1">
      <c r="A68" s="308"/>
      <c r="B68" s="311"/>
      <c r="C68" s="116" t="s">
        <v>420</v>
      </c>
      <c r="D68" s="116">
        <v>30</v>
      </c>
      <c r="E68" s="115">
        <v>0.4</v>
      </c>
      <c r="F68" s="231">
        <f t="shared" si="2"/>
        <v>2514.468</v>
      </c>
      <c r="G68" s="115">
        <v>2095.39</v>
      </c>
      <c r="H68" s="228">
        <f>E68*G68</f>
        <v>838.156</v>
      </c>
    </row>
    <row r="69" spans="1:8" ht="15">
      <c r="A69" s="117" t="s">
        <v>236</v>
      </c>
      <c r="B69" s="118">
        <f>SUM(B5:B61)</f>
        <v>18</v>
      </c>
      <c r="C69" s="113" t="s">
        <v>258</v>
      </c>
      <c r="D69" s="118"/>
      <c r="E69" s="118"/>
      <c r="F69" s="118"/>
      <c r="G69" s="118"/>
      <c r="H69" s="118">
        <f>SUM(H5:H68)</f>
        <v>160434.789</v>
      </c>
    </row>
    <row r="70" ht="15">
      <c r="C70" s="230"/>
    </row>
  </sheetData>
  <sheetProtection/>
  <mergeCells count="16">
    <mergeCell ref="A34:A42"/>
    <mergeCell ref="B34:B42"/>
    <mergeCell ref="A11:A18"/>
    <mergeCell ref="B11:B18"/>
    <mergeCell ref="A19:A24"/>
    <mergeCell ref="B19:B24"/>
    <mergeCell ref="A61:A68"/>
    <mergeCell ref="B61:B68"/>
    <mergeCell ref="A5:A10"/>
    <mergeCell ref="B5:B10"/>
    <mergeCell ref="A43:A51"/>
    <mergeCell ref="B43:B51"/>
    <mergeCell ref="A52:A60"/>
    <mergeCell ref="B52:B60"/>
    <mergeCell ref="A25:A33"/>
    <mergeCell ref="B25:B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2019-06-11T04:02:42Z</dcterms:modified>
  <cp:category/>
  <cp:version/>
  <cp:contentType/>
  <cp:contentStatus/>
</cp:coreProperties>
</file>